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9045" firstSheet="5" activeTab="8"/>
  </bookViews>
  <sheets>
    <sheet name="Balance Comprobación" sheetId="8" r:id="rId1"/>
    <sheet name="Estado_Ejecucion_Presupuestaria" sheetId="7" r:id="rId2"/>
    <sheet name="BalanceGeneral_Situacion" sheetId="1" r:id="rId3"/>
    <sheet name="CambiosPatrimonioNeto" sheetId="9" r:id="rId4"/>
    <sheet name="FlujoEfectivo" sheetId="10" r:id="rId5"/>
    <sheet name="DeudaPublica" sheetId="11" r:id="rId6"/>
    <sheet name="EstadoSituacionEvolucionBienes" sheetId="5" r:id="rId7"/>
    <sheet name="EstadoFinancieroSegmentos" sheetId="6" r:id="rId8"/>
    <sheet name="EstadoResultados_Rendimiento" sheetId="3" r:id="rId9"/>
    <sheet name="Data" sheetId="2" r:id="rId10"/>
  </sheets>
  <externalReferences>
    <externalReference r:id="rId11"/>
    <externalReference r:id="rId12"/>
    <externalReference r:id="rId13"/>
  </externalReferences>
  <definedNames>
    <definedName name="_xlnm.Print_Area" localSheetId="2">BalanceGeneral_Situacion!$A$1:$E$196</definedName>
    <definedName name="_xlnm.Print_Area" localSheetId="7">EstadoFinancieroSegmentos!$A$2:$AC$64</definedName>
    <definedName name="_xlnm.Print_Area" localSheetId="8">EstadoResultados_Rendimiento!$A$1:$E$247</definedName>
    <definedName name="_xlnm.Print_Area" localSheetId="6">EstadoSituacionEvolucionBienes!$A$1:$U$106</definedName>
  </definedNames>
  <calcPr calcId="162913"/>
</workbook>
</file>

<file path=xl/calcChain.xml><?xml version="1.0" encoding="utf-8"?>
<calcChain xmlns="http://schemas.openxmlformats.org/spreadsheetml/2006/main">
  <c r="E7" i="11" l="1"/>
  <c r="C7" i="11"/>
  <c r="E43" i="10" l="1"/>
  <c r="E47" i="10" s="1"/>
  <c r="D43" i="10"/>
  <c r="E39" i="10"/>
  <c r="D39" i="10"/>
  <c r="D47" i="10" s="1"/>
  <c r="E30" i="10"/>
  <c r="D30" i="10"/>
  <c r="E24" i="10"/>
  <c r="E36" i="10" s="1"/>
  <c r="D24" i="10"/>
  <c r="D36" i="10" s="1"/>
  <c r="D21" i="10"/>
  <c r="E15" i="10"/>
  <c r="D15" i="10"/>
  <c r="E6" i="10"/>
  <c r="E21" i="10" s="1"/>
  <c r="E49" i="10" s="1"/>
  <c r="E53" i="10" s="1"/>
  <c r="D6" i="10"/>
  <c r="E4" i="10"/>
  <c r="D4" i="10"/>
  <c r="D49" i="10" l="1"/>
  <c r="D53" i="10" s="1"/>
  <c r="J32" i="9" l="1"/>
  <c r="J33" i="9" s="1"/>
  <c r="I32" i="9"/>
  <c r="I33" i="9" s="1"/>
  <c r="H32" i="9"/>
  <c r="H33" i="9" s="1"/>
  <c r="G32" i="9"/>
  <c r="G33" i="9" s="1"/>
  <c r="F32" i="9"/>
  <c r="F33" i="9" s="1"/>
  <c r="E32" i="9"/>
  <c r="E33" i="9" s="1"/>
  <c r="D32" i="9"/>
  <c r="D33" i="9" s="1"/>
  <c r="K31" i="9"/>
  <c r="K30" i="9"/>
  <c r="K29" i="9"/>
  <c r="K28" i="9"/>
  <c r="K27" i="9"/>
  <c r="K26" i="9"/>
  <c r="K25" i="9"/>
  <c r="K24" i="9"/>
  <c r="K23" i="9"/>
  <c r="K22" i="9"/>
  <c r="K21" i="9"/>
  <c r="K20" i="9"/>
  <c r="K19" i="9"/>
  <c r="K18" i="9"/>
  <c r="K17" i="9"/>
  <c r="K16" i="9"/>
  <c r="K15" i="9"/>
  <c r="K14" i="9"/>
  <c r="K32" i="9" s="1"/>
  <c r="K33" i="9" s="1"/>
  <c r="K12" i="9"/>
  <c r="H12" i="9"/>
  <c r="B12" i="9" l="1"/>
  <c r="B1" i="9" l="1"/>
  <c r="C159" i="7"/>
  <c r="C160" i="7" s="1"/>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B84" i="7"/>
  <c r="B159" i="7" s="1"/>
  <c r="B160" i="7" s="1"/>
  <c r="D83" i="7"/>
  <c r="C83" i="7"/>
  <c r="D82" i="7"/>
  <c r="D81" i="7"/>
  <c r="D80" i="7"/>
  <c r="D79" i="7"/>
  <c r="D78" i="7"/>
  <c r="D77" i="7"/>
  <c r="D76" i="7"/>
  <c r="D75" i="7"/>
  <c r="C69" i="7"/>
  <c r="C70" i="7" s="1"/>
  <c r="B69" i="7"/>
  <c r="D68" i="7"/>
  <c r="D67" i="7"/>
  <c r="D66" i="7"/>
  <c r="D65" i="7"/>
  <c r="D64" i="7"/>
  <c r="D63" i="7"/>
  <c r="D62" i="7"/>
  <c r="D61" i="7"/>
  <c r="D60" i="7"/>
  <c r="D59" i="7"/>
  <c r="C59" i="7"/>
  <c r="D58" i="7"/>
  <c r="D56" i="7"/>
  <c r="D54" i="7"/>
  <c r="D53" i="7"/>
  <c r="H42" i="7"/>
  <c r="E42" i="7"/>
  <c r="E44" i="7" s="1"/>
  <c r="C42" i="7"/>
  <c r="B42" i="7"/>
  <c r="G30" i="7"/>
  <c r="F30" i="7"/>
  <c r="D30" i="7"/>
  <c r="I29" i="7"/>
  <c r="H29" i="7"/>
  <c r="G29" i="7"/>
  <c r="F29" i="7"/>
  <c r="D29" i="7"/>
  <c r="I28" i="7"/>
  <c r="H28" i="7"/>
  <c r="G28" i="7"/>
  <c r="F28" i="7"/>
  <c r="F42" i="7" s="1"/>
  <c r="D28" i="7"/>
  <c r="I27" i="7"/>
  <c r="H27" i="7"/>
  <c r="G27" i="7"/>
  <c r="F27" i="7"/>
  <c r="D27" i="7"/>
  <c r="I26" i="7"/>
  <c r="H26" i="7"/>
  <c r="G26" i="7"/>
  <c r="D26" i="7" s="1"/>
  <c r="F26" i="7"/>
  <c r="I25" i="7"/>
  <c r="H25" i="7"/>
  <c r="G25" i="7"/>
  <c r="G42" i="7" s="1"/>
  <c r="F25" i="7"/>
  <c r="D25" i="7"/>
  <c r="I21" i="7"/>
  <c r="E21" i="7"/>
  <c r="G21" i="7" s="1"/>
  <c r="G44" i="7" s="1"/>
  <c r="C21" i="7"/>
  <c r="H21" i="7" s="1"/>
  <c r="B21" i="7"/>
  <c r="B44" i="7" s="1"/>
  <c r="I20" i="7"/>
  <c r="H20" i="7"/>
  <c r="G20" i="7"/>
  <c r="F20" i="7"/>
  <c r="D20" i="7"/>
  <c r="I19" i="7"/>
  <c r="H19" i="7"/>
  <c r="G19" i="7"/>
  <c r="D19" i="7" s="1"/>
  <c r="F19" i="7"/>
  <c r="G18" i="7"/>
  <c r="F18" i="7"/>
  <c r="I17" i="7"/>
  <c r="H17" i="7"/>
  <c r="G17" i="7"/>
  <c r="F17" i="7"/>
  <c r="D17" i="7"/>
  <c r="D21" i="7" s="1"/>
  <c r="G16" i="7"/>
  <c r="F16" i="7"/>
  <c r="D16" i="7"/>
  <c r="D42" i="7" l="1"/>
  <c r="D44" i="7" s="1"/>
  <c r="I42" i="7"/>
  <c r="D69" i="7"/>
  <c r="F21" i="7"/>
  <c r="F44" i="7" s="1"/>
  <c r="C44" i="7"/>
  <c r="D159" i="7"/>
  <c r="Q16" i="5"/>
  <c r="Q17" i="5"/>
  <c r="Q23" i="5"/>
  <c r="Q15" i="5"/>
  <c r="Q14" i="5"/>
  <c r="Q13" i="5"/>
  <c r="H23" i="5"/>
  <c r="L13" i="5"/>
  <c r="M48" i="5"/>
  <c r="H48" i="5"/>
  <c r="Q48" i="5"/>
  <c r="Q21" i="5"/>
  <c r="Q20" i="5"/>
  <c r="Q19" i="5"/>
  <c r="H18" i="5"/>
  <c r="M18" i="5"/>
  <c r="Q18" i="5"/>
  <c r="K13" i="5"/>
  <c r="K12" i="5"/>
  <c r="C49" i="5"/>
  <c r="C48" i="5"/>
  <c r="R18" i="5"/>
  <c r="P16" i="5"/>
  <c r="I18" i="5"/>
  <c r="D167" i="1" l="1"/>
  <c r="D159" i="1"/>
  <c r="D154" i="1"/>
  <c r="D153" i="1"/>
  <c r="D121" i="1"/>
  <c r="D119" i="1"/>
  <c r="D113" i="1"/>
  <c r="D95" i="1"/>
  <c r="D94" i="1"/>
  <c r="D34" i="1"/>
  <c r="D11" i="1"/>
  <c r="D87" i="1"/>
  <c r="D83" i="1"/>
  <c r="D70" i="1"/>
  <c r="D63" i="1"/>
  <c r="D23" i="1"/>
  <c r="D27" i="1"/>
  <c r="D33" i="1"/>
  <c r="D36" i="1"/>
  <c r="D43" i="1"/>
  <c r="D226" i="3" l="1"/>
  <c r="D222" i="3"/>
  <c r="D221" i="3"/>
  <c r="D214" i="3"/>
  <c r="D207" i="3"/>
  <c r="D206" i="3"/>
  <c r="D205" i="3"/>
  <c r="D165" i="3"/>
  <c r="D162" i="3"/>
  <c r="D159" i="3"/>
  <c r="D157" i="3"/>
  <c r="D155" i="3"/>
  <c r="D153" i="3"/>
  <c r="D150" i="3"/>
  <c r="D149" i="3"/>
  <c r="D148" i="3"/>
  <c r="D147" i="3"/>
  <c r="D146" i="3"/>
  <c r="D145" i="3"/>
  <c r="D143" i="3"/>
  <c r="D144" i="3"/>
  <c r="D138" i="3" l="1"/>
  <c r="D137" i="3"/>
  <c r="D136" i="3"/>
  <c r="D135" i="3"/>
  <c r="D134" i="3"/>
  <c r="D128" i="3"/>
  <c r="D125" i="3"/>
  <c r="D117" i="3"/>
  <c r="D100" i="3"/>
  <c r="D92" i="3"/>
  <c r="D75" i="3"/>
  <c r="D43" i="3"/>
  <c r="E167" i="1"/>
  <c r="E168" i="1"/>
  <c r="T75" i="5" l="1"/>
  <c r="T74" i="5"/>
  <c r="T69" i="5"/>
  <c r="T68" i="5"/>
  <c r="T65" i="5"/>
  <c r="T64" i="5"/>
  <c r="T61" i="5"/>
  <c r="T60" i="5"/>
  <c r="T54" i="5"/>
  <c r="T53" i="5"/>
  <c r="T49" i="5"/>
  <c r="T44" i="5"/>
  <c r="T43" i="5"/>
  <c r="S90" i="5"/>
  <c r="T90" i="5" s="1"/>
  <c r="S89" i="5"/>
  <c r="T89" i="5" s="1"/>
  <c r="S88" i="5"/>
  <c r="T88" i="5" s="1"/>
  <c r="S87" i="5"/>
  <c r="T87" i="5" s="1"/>
  <c r="S85" i="5"/>
  <c r="T85" i="5" s="1"/>
  <c r="S84" i="5"/>
  <c r="T84" i="5" s="1"/>
  <c r="S83" i="5"/>
  <c r="T83" i="5" s="1"/>
  <c r="S82" i="5"/>
  <c r="T82" i="5" s="1"/>
  <c r="S77" i="5"/>
  <c r="T77" i="5" s="1"/>
  <c r="S76" i="5"/>
  <c r="T76" i="5" s="1"/>
  <c r="S75" i="5"/>
  <c r="S74" i="5"/>
  <c r="S72" i="5"/>
  <c r="T72" i="5" s="1"/>
  <c r="S71" i="5"/>
  <c r="T71" i="5" s="1"/>
  <c r="S69" i="5"/>
  <c r="S68" i="5"/>
  <c r="S67" i="5"/>
  <c r="T67" i="5" s="1"/>
  <c r="S66" i="5"/>
  <c r="T66" i="5" s="1"/>
  <c r="S65" i="5"/>
  <c r="S64" i="5"/>
  <c r="S63" i="5"/>
  <c r="T63" i="5" s="1"/>
  <c r="S62" i="5"/>
  <c r="T62" i="5" s="1"/>
  <c r="S61" i="5"/>
  <c r="S60" i="5"/>
  <c r="S59" i="5"/>
  <c r="T59" i="5" s="1"/>
  <c r="S58" i="5"/>
  <c r="T58" i="5" s="1"/>
  <c r="S54" i="5"/>
  <c r="S53" i="5"/>
  <c r="S52" i="5"/>
  <c r="T52" i="5" s="1"/>
  <c r="S51" i="5"/>
  <c r="T51" i="5" s="1"/>
  <c r="S49" i="5"/>
  <c r="S48" i="5"/>
  <c r="T48" i="5" s="1"/>
  <c r="S47" i="5"/>
  <c r="T47" i="5" s="1"/>
  <c r="S46" i="5"/>
  <c r="T46" i="5" s="1"/>
  <c r="S41" i="5"/>
  <c r="T41" i="5" s="1"/>
  <c r="S40" i="5"/>
  <c r="T40" i="5" s="1"/>
  <c r="S38" i="5"/>
  <c r="T38" i="5" s="1"/>
  <c r="S37" i="5"/>
  <c r="T37" i="5" s="1"/>
  <c r="S36" i="5"/>
  <c r="T36" i="5" s="1"/>
  <c r="S34" i="5"/>
  <c r="T34" i="5" s="1"/>
  <c r="S33" i="5"/>
  <c r="T33" i="5" s="1"/>
  <c r="S32" i="5"/>
  <c r="T32" i="5" s="1"/>
  <c r="S31" i="5"/>
  <c r="T31" i="5" s="1"/>
  <c r="S29" i="5"/>
  <c r="T29" i="5" s="1"/>
  <c r="S28" i="5"/>
  <c r="T28" i="5" s="1"/>
  <c r="S27" i="5"/>
  <c r="T27" i="5" s="1"/>
  <c r="S26" i="5"/>
  <c r="T26" i="5" s="1"/>
  <c r="S25" i="5"/>
  <c r="T25" i="5" s="1"/>
  <c r="S23" i="5"/>
  <c r="T23" i="5" s="1"/>
  <c r="S22" i="5"/>
  <c r="T22" i="5" s="1"/>
  <c r="S21" i="5"/>
  <c r="T21" i="5" s="1"/>
  <c r="S20" i="5"/>
  <c r="T20" i="5" s="1"/>
  <c r="S19" i="5"/>
  <c r="T19" i="5" s="1"/>
  <c r="S18" i="5"/>
  <c r="T18" i="5" s="1"/>
  <c r="S17" i="5"/>
  <c r="T17" i="5" s="1"/>
  <c r="S16" i="5"/>
  <c r="T16" i="5" s="1"/>
  <c r="S15" i="5"/>
  <c r="T15" i="5" s="1"/>
  <c r="S14" i="5"/>
  <c r="T14" i="5" s="1"/>
  <c r="S13" i="5"/>
  <c r="T13" i="5" s="1"/>
  <c r="S12" i="5"/>
  <c r="T12" i="5" s="1"/>
  <c r="S80" i="5"/>
  <c r="T80" i="5" s="1"/>
  <c r="S79" i="5"/>
  <c r="T79" i="5" s="1"/>
  <c r="S44" i="5"/>
  <c r="S43" i="5"/>
  <c r="G90" i="5" l="1"/>
  <c r="O90" i="5" s="1"/>
  <c r="U90" i="5" s="1"/>
  <c r="G89" i="5"/>
  <c r="O89" i="5" s="1"/>
  <c r="U89" i="5" s="1"/>
  <c r="G88" i="5"/>
  <c r="O88" i="5" s="1"/>
  <c r="U88" i="5" s="1"/>
  <c r="G87" i="5"/>
  <c r="O87" i="5" s="1"/>
  <c r="T86" i="5"/>
  <c r="S86" i="5"/>
  <c r="R86" i="5"/>
  <c r="Q86" i="5"/>
  <c r="Q91" i="5" s="1"/>
  <c r="P86" i="5"/>
  <c r="N86" i="5"/>
  <c r="M86" i="5"/>
  <c r="L86" i="5"/>
  <c r="K86" i="5"/>
  <c r="J86" i="5"/>
  <c r="I86" i="5"/>
  <c r="H86" i="5"/>
  <c r="F86" i="5"/>
  <c r="E86" i="5"/>
  <c r="D86" i="5"/>
  <c r="C86" i="5"/>
  <c r="C91" i="5" s="1"/>
  <c r="G85" i="5"/>
  <c r="O85" i="5" s="1"/>
  <c r="U85" i="5" s="1"/>
  <c r="O84" i="5"/>
  <c r="U84" i="5" s="1"/>
  <c r="G84" i="5"/>
  <c r="G83" i="5"/>
  <c r="O83" i="5" s="1"/>
  <c r="U83" i="5" s="1"/>
  <c r="G82" i="5"/>
  <c r="O82" i="5" s="1"/>
  <c r="T81" i="5"/>
  <c r="S81" i="5"/>
  <c r="R81" i="5"/>
  <c r="Q81" i="5"/>
  <c r="P81" i="5"/>
  <c r="N81" i="5"/>
  <c r="M81" i="5"/>
  <c r="L81" i="5"/>
  <c r="K81" i="5"/>
  <c r="K91" i="5" s="1"/>
  <c r="J81" i="5"/>
  <c r="I81" i="5"/>
  <c r="H81" i="5"/>
  <c r="F81" i="5"/>
  <c r="E81" i="5"/>
  <c r="D81" i="5"/>
  <c r="C81" i="5"/>
  <c r="O80" i="5"/>
  <c r="U80" i="5" s="1"/>
  <c r="G80" i="5"/>
  <c r="G79" i="5"/>
  <c r="O79" i="5" s="1"/>
  <c r="T78" i="5"/>
  <c r="S78" i="5"/>
  <c r="R78" i="5"/>
  <c r="Q78" i="5"/>
  <c r="P78" i="5"/>
  <c r="N78" i="5"/>
  <c r="M78" i="5"/>
  <c r="L78" i="5"/>
  <c r="K78" i="5"/>
  <c r="J78" i="5"/>
  <c r="I78" i="5"/>
  <c r="H78" i="5"/>
  <c r="F78" i="5"/>
  <c r="E78" i="5"/>
  <c r="D78" i="5"/>
  <c r="C78" i="5"/>
  <c r="G77" i="5"/>
  <c r="O77" i="5" s="1"/>
  <c r="U77" i="5" s="1"/>
  <c r="O76" i="5"/>
  <c r="U76" i="5" s="1"/>
  <c r="G76" i="5"/>
  <c r="G75" i="5"/>
  <c r="O75" i="5" s="1"/>
  <c r="U75" i="5" s="1"/>
  <c r="G74" i="5"/>
  <c r="O74" i="5" s="1"/>
  <c r="T73" i="5"/>
  <c r="S73" i="5"/>
  <c r="R73" i="5"/>
  <c r="Q73" i="5"/>
  <c r="P73" i="5"/>
  <c r="N73" i="5"/>
  <c r="M73" i="5"/>
  <c r="L73" i="5"/>
  <c r="K73" i="5"/>
  <c r="J73" i="5"/>
  <c r="I73" i="5"/>
  <c r="H73" i="5"/>
  <c r="F73" i="5"/>
  <c r="E73" i="5"/>
  <c r="D73" i="5"/>
  <c r="C73" i="5"/>
  <c r="O72" i="5"/>
  <c r="U72" i="5" s="1"/>
  <c r="G72" i="5"/>
  <c r="G71" i="5"/>
  <c r="O71" i="5" s="1"/>
  <c r="T70" i="5"/>
  <c r="S70" i="5"/>
  <c r="R70" i="5"/>
  <c r="Q70" i="5"/>
  <c r="P70" i="5"/>
  <c r="N70" i="5"/>
  <c r="M70" i="5"/>
  <c r="L70" i="5"/>
  <c r="K70" i="5"/>
  <c r="J70" i="5"/>
  <c r="I70" i="5"/>
  <c r="H70" i="5"/>
  <c r="F70" i="5"/>
  <c r="E70" i="5"/>
  <c r="D70" i="5"/>
  <c r="C70" i="5"/>
  <c r="G69" i="5"/>
  <c r="O69" i="5" s="1"/>
  <c r="U69" i="5" s="1"/>
  <c r="O68" i="5"/>
  <c r="U68" i="5" s="1"/>
  <c r="G68" i="5"/>
  <c r="G67" i="5"/>
  <c r="O67" i="5" s="1"/>
  <c r="U67" i="5" s="1"/>
  <c r="G66" i="5"/>
  <c r="O66" i="5" s="1"/>
  <c r="U66" i="5" s="1"/>
  <c r="G65" i="5"/>
  <c r="O65" i="5" s="1"/>
  <c r="U65" i="5" s="1"/>
  <c r="G64" i="5"/>
  <c r="O64" i="5" s="1"/>
  <c r="U64" i="5" s="1"/>
  <c r="G63" i="5"/>
  <c r="O63" i="5" s="1"/>
  <c r="U63" i="5" s="1"/>
  <c r="G62" i="5"/>
  <c r="O62" i="5" s="1"/>
  <c r="U62" i="5" s="1"/>
  <c r="G61" i="5"/>
  <c r="O61" i="5" s="1"/>
  <c r="U61" i="5" s="1"/>
  <c r="G60" i="5"/>
  <c r="O60" i="5" s="1"/>
  <c r="U60" i="5" s="1"/>
  <c r="G59" i="5"/>
  <c r="O59" i="5" s="1"/>
  <c r="U59" i="5" s="1"/>
  <c r="G58" i="5"/>
  <c r="O58" i="5" s="1"/>
  <c r="T57" i="5"/>
  <c r="S57" i="5"/>
  <c r="R57" i="5"/>
  <c r="Q57" i="5"/>
  <c r="P57" i="5"/>
  <c r="N57" i="5"/>
  <c r="M57" i="5"/>
  <c r="L57" i="5"/>
  <c r="K57" i="5"/>
  <c r="J57" i="5"/>
  <c r="I57" i="5"/>
  <c r="H57" i="5"/>
  <c r="F57" i="5"/>
  <c r="E57" i="5"/>
  <c r="D57" i="5"/>
  <c r="C57" i="5"/>
  <c r="N54" i="5"/>
  <c r="G54" i="5"/>
  <c r="N53" i="5"/>
  <c r="O53" i="5" s="1"/>
  <c r="U53" i="5" s="1"/>
  <c r="G53" i="5"/>
  <c r="N52" i="5"/>
  <c r="G52" i="5"/>
  <c r="G50" i="5" s="1"/>
  <c r="N51" i="5"/>
  <c r="O51" i="5" s="1"/>
  <c r="G51" i="5"/>
  <c r="T50" i="5"/>
  <c r="S50" i="5"/>
  <c r="R50" i="5"/>
  <c r="Q50" i="5"/>
  <c r="P50" i="5"/>
  <c r="M50" i="5"/>
  <c r="L50" i="5"/>
  <c r="K50" i="5"/>
  <c r="J50" i="5"/>
  <c r="I50" i="5"/>
  <c r="H50" i="5"/>
  <c r="F50" i="5"/>
  <c r="E50" i="5"/>
  <c r="D50" i="5"/>
  <c r="C50" i="5"/>
  <c r="N49" i="5"/>
  <c r="G49" i="5"/>
  <c r="O49" i="5" s="1"/>
  <c r="U49" i="5" s="1"/>
  <c r="N48" i="5"/>
  <c r="G48" i="5"/>
  <c r="N47" i="5"/>
  <c r="G47" i="5"/>
  <c r="O47" i="5" s="1"/>
  <c r="U47" i="5" s="1"/>
  <c r="N46" i="5"/>
  <c r="G46" i="5"/>
  <c r="T45" i="5"/>
  <c r="S45" i="5"/>
  <c r="R45" i="5"/>
  <c r="Q45" i="5"/>
  <c r="P45" i="5"/>
  <c r="M45" i="5"/>
  <c r="L45" i="5"/>
  <c r="K45" i="5"/>
  <c r="J45" i="5"/>
  <c r="I45" i="5"/>
  <c r="H45" i="5"/>
  <c r="F45" i="5"/>
  <c r="E45" i="5"/>
  <c r="D45" i="5"/>
  <c r="C45" i="5"/>
  <c r="N44" i="5"/>
  <c r="G44" i="5"/>
  <c r="O44" i="5" s="1"/>
  <c r="U44" i="5" s="1"/>
  <c r="N43" i="5"/>
  <c r="N42" i="5" s="1"/>
  <c r="G43" i="5"/>
  <c r="T42" i="5"/>
  <c r="S42" i="5"/>
  <c r="R42" i="5"/>
  <c r="Q42" i="5"/>
  <c r="P42" i="5"/>
  <c r="M42" i="5"/>
  <c r="L42" i="5"/>
  <c r="K42" i="5"/>
  <c r="J42" i="5"/>
  <c r="I42" i="5"/>
  <c r="H42" i="5"/>
  <c r="F42" i="5"/>
  <c r="E42" i="5"/>
  <c r="D42" i="5"/>
  <c r="C42" i="5"/>
  <c r="N41" i="5"/>
  <c r="O41" i="5" s="1"/>
  <c r="U41" i="5" s="1"/>
  <c r="G41" i="5"/>
  <c r="N40" i="5"/>
  <c r="N39" i="5" s="1"/>
  <c r="G40" i="5"/>
  <c r="G39" i="5" s="1"/>
  <c r="T39" i="5"/>
  <c r="S39" i="5"/>
  <c r="R39" i="5"/>
  <c r="Q39" i="5"/>
  <c r="P39" i="5"/>
  <c r="M39" i="5"/>
  <c r="L39" i="5"/>
  <c r="K39" i="5"/>
  <c r="J39" i="5"/>
  <c r="I39" i="5"/>
  <c r="H39" i="5"/>
  <c r="F39" i="5"/>
  <c r="E39" i="5"/>
  <c r="D39" i="5"/>
  <c r="C39" i="5"/>
  <c r="N38" i="5"/>
  <c r="G38" i="5"/>
  <c r="O38" i="5" s="1"/>
  <c r="U38" i="5" s="1"/>
  <c r="N37" i="5"/>
  <c r="G37" i="5"/>
  <c r="N36" i="5"/>
  <c r="G36" i="5"/>
  <c r="O36" i="5" s="1"/>
  <c r="T35" i="5"/>
  <c r="S35" i="5"/>
  <c r="R35" i="5"/>
  <c r="Q35" i="5"/>
  <c r="P35" i="5"/>
  <c r="M35" i="5"/>
  <c r="L35" i="5"/>
  <c r="K35" i="5"/>
  <c r="J35" i="5"/>
  <c r="I35" i="5"/>
  <c r="H35" i="5"/>
  <c r="G35" i="5"/>
  <c r="F35" i="5"/>
  <c r="E35" i="5"/>
  <c r="D35" i="5"/>
  <c r="C35" i="5"/>
  <c r="N34" i="5"/>
  <c r="G34" i="5"/>
  <c r="N33" i="5"/>
  <c r="G33" i="5"/>
  <c r="O33" i="5" s="1"/>
  <c r="U33" i="5" s="1"/>
  <c r="N32" i="5"/>
  <c r="G32" i="5"/>
  <c r="N31" i="5"/>
  <c r="N30" i="5" s="1"/>
  <c r="G31" i="5"/>
  <c r="G30" i="5" s="1"/>
  <c r="T30" i="5"/>
  <c r="S30" i="5"/>
  <c r="R30" i="5"/>
  <c r="Q30" i="5"/>
  <c r="P30" i="5"/>
  <c r="M30" i="5"/>
  <c r="L30" i="5"/>
  <c r="K30" i="5"/>
  <c r="J30" i="5"/>
  <c r="I30" i="5"/>
  <c r="H30" i="5"/>
  <c r="F30" i="5"/>
  <c r="E30" i="5"/>
  <c r="D30" i="5"/>
  <c r="C30" i="5"/>
  <c r="N29" i="5"/>
  <c r="G29" i="5"/>
  <c r="N28" i="5"/>
  <c r="G28" i="5"/>
  <c r="O28" i="5" s="1"/>
  <c r="U28" i="5" s="1"/>
  <c r="N27" i="5"/>
  <c r="N26" i="5"/>
  <c r="G26" i="5"/>
  <c r="O26" i="5" s="1"/>
  <c r="U26" i="5" s="1"/>
  <c r="N25" i="5"/>
  <c r="N24" i="5" s="1"/>
  <c r="G25" i="5"/>
  <c r="G24" i="5" s="1"/>
  <c r="T24" i="5"/>
  <c r="S24" i="5"/>
  <c r="R24" i="5"/>
  <c r="Q24" i="5"/>
  <c r="P24" i="5"/>
  <c r="M24" i="5"/>
  <c r="L24" i="5"/>
  <c r="K24" i="5"/>
  <c r="J24" i="5"/>
  <c r="I24" i="5"/>
  <c r="H24" i="5"/>
  <c r="F24" i="5"/>
  <c r="E24" i="5"/>
  <c r="D24" i="5"/>
  <c r="C24" i="5"/>
  <c r="N23" i="5"/>
  <c r="G23" i="5"/>
  <c r="O23" i="5" s="1"/>
  <c r="U23" i="5" s="1"/>
  <c r="N22" i="5"/>
  <c r="G22" i="5"/>
  <c r="N21" i="5"/>
  <c r="G21" i="5"/>
  <c r="O21" i="5" s="1"/>
  <c r="U21" i="5" s="1"/>
  <c r="N20" i="5"/>
  <c r="G20" i="5"/>
  <c r="O20" i="5" s="1"/>
  <c r="U20" i="5" s="1"/>
  <c r="N19" i="5"/>
  <c r="G19" i="5"/>
  <c r="O19" i="5" s="1"/>
  <c r="U19" i="5" s="1"/>
  <c r="N18" i="5"/>
  <c r="G18" i="5"/>
  <c r="N17" i="5"/>
  <c r="G17" i="5"/>
  <c r="O17" i="5" s="1"/>
  <c r="U17" i="5" s="1"/>
  <c r="N16" i="5"/>
  <c r="G16" i="5"/>
  <c r="N15" i="5"/>
  <c r="G15" i="5"/>
  <c r="O15" i="5" s="1"/>
  <c r="U15" i="5" s="1"/>
  <c r="N14" i="5"/>
  <c r="G14" i="5"/>
  <c r="N13" i="5"/>
  <c r="G13" i="5"/>
  <c r="O13" i="5" s="1"/>
  <c r="U13" i="5" s="1"/>
  <c r="N12" i="5"/>
  <c r="G12" i="5"/>
  <c r="T11" i="5"/>
  <c r="S11" i="5"/>
  <c r="R11" i="5"/>
  <c r="Q11" i="5"/>
  <c r="P11" i="5"/>
  <c r="M11" i="5"/>
  <c r="L11" i="5"/>
  <c r="L55" i="5" s="1"/>
  <c r="K11" i="5"/>
  <c r="J11" i="5"/>
  <c r="I11" i="5"/>
  <c r="H11" i="5"/>
  <c r="H55" i="5" s="1"/>
  <c r="F11" i="5"/>
  <c r="E11" i="5"/>
  <c r="D11" i="5"/>
  <c r="C11" i="5"/>
  <c r="C55" i="5" s="1"/>
  <c r="N45" i="5" l="1"/>
  <c r="O12" i="5"/>
  <c r="U12" i="5" s="1"/>
  <c r="O18" i="5"/>
  <c r="U18" i="5" s="1"/>
  <c r="Q55" i="5"/>
  <c r="Q93" i="5" s="1"/>
  <c r="O14" i="5"/>
  <c r="U14" i="5" s="1"/>
  <c r="O16" i="5"/>
  <c r="U16" i="5" s="1"/>
  <c r="O22" i="5"/>
  <c r="U22" i="5" s="1"/>
  <c r="N11" i="5"/>
  <c r="C93" i="5"/>
  <c r="P91" i="5"/>
  <c r="D55" i="5"/>
  <c r="I55" i="5"/>
  <c r="M55" i="5"/>
  <c r="M93" i="5" s="1"/>
  <c r="R55" i="5"/>
  <c r="H91" i="5"/>
  <c r="H93" i="5" s="1"/>
  <c r="L91" i="5"/>
  <c r="L93" i="5" s="1"/>
  <c r="I91" i="5"/>
  <c r="M91" i="5"/>
  <c r="R91" i="5"/>
  <c r="E55" i="5"/>
  <c r="J55" i="5"/>
  <c r="N35" i="5"/>
  <c r="O40" i="5"/>
  <c r="U40" i="5" s="1"/>
  <c r="G42" i="5"/>
  <c r="O52" i="5"/>
  <c r="U52" i="5" s="1"/>
  <c r="O54" i="5"/>
  <c r="U54" i="5" s="1"/>
  <c r="D91" i="5"/>
  <c r="E91" i="5"/>
  <c r="J91" i="5"/>
  <c r="J93" i="5" s="1"/>
  <c r="N91" i="5"/>
  <c r="F55" i="5"/>
  <c r="F93" i="5" s="1"/>
  <c r="K55" i="5"/>
  <c r="P55" i="5"/>
  <c r="P93" i="5" s="1"/>
  <c r="O29" i="5"/>
  <c r="U29" i="5" s="1"/>
  <c r="O32" i="5"/>
  <c r="U32" i="5" s="1"/>
  <c r="O34" i="5"/>
  <c r="U34" i="5" s="1"/>
  <c r="O37" i="5"/>
  <c r="U37" i="5" s="1"/>
  <c r="O43" i="5"/>
  <c r="G45" i="5"/>
  <c r="O48" i="5"/>
  <c r="U48" i="5" s="1"/>
  <c r="F91" i="5"/>
  <c r="T91" i="5"/>
  <c r="T55" i="5"/>
  <c r="S91" i="5"/>
  <c r="S55" i="5"/>
  <c r="O70" i="5"/>
  <c r="U71" i="5"/>
  <c r="U70" i="5" s="1"/>
  <c r="D93" i="5"/>
  <c r="U43" i="5"/>
  <c r="U42" i="5" s="1"/>
  <c r="O42" i="5"/>
  <c r="O11" i="5"/>
  <c r="U51" i="5"/>
  <c r="O86" i="5"/>
  <c r="U87" i="5"/>
  <c r="U86" i="5" s="1"/>
  <c r="U82" i="5"/>
  <c r="U81" i="5" s="1"/>
  <c r="O81" i="5"/>
  <c r="R93" i="5"/>
  <c r="O78" i="5"/>
  <c r="U79" i="5"/>
  <c r="U78" i="5" s="1"/>
  <c r="K93" i="5"/>
  <c r="O35" i="5"/>
  <c r="U36" i="5"/>
  <c r="U74" i="5"/>
  <c r="U73" i="5" s="1"/>
  <c r="O73" i="5"/>
  <c r="U39" i="5"/>
  <c r="U58" i="5"/>
  <c r="U57" i="5" s="1"/>
  <c r="O57" i="5"/>
  <c r="O25" i="5"/>
  <c r="O31" i="5"/>
  <c r="O46" i="5"/>
  <c r="G57" i="5"/>
  <c r="G73" i="5"/>
  <c r="G81" i="5"/>
  <c r="G11" i="5"/>
  <c r="G55" i="5" s="1"/>
  <c r="O39" i="5"/>
  <c r="N50" i="5"/>
  <c r="G70" i="5"/>
  <c r="G78" i="5"/>
  <c r="G86" i="5"/>
  <c r="G91" i="5" s="1"/>
  <c r="A2" i="2"/>
  <c r="C2" i="2" s="1"/>
  <c r="E223" i="3"/>
  <c r="D223" i="3"/>
  <c r="E220" i="3"/>
  <c r="D220" i="3"/>
  <c r="E213" i="3"/>
  <c r="D213" i="3"/>
  <c r="E208" i="3"/>
  <c r="D208" i="3"/>
  <c r="E204" i="3"/>
  <c r="D204" i="3"/>
  <c r="E195" i="3"/>
  <c r="D195" i="3"/>
  <c r="E192" i="3"/>
  <c r="D192" i="3"/>
  <c r="E189" i="3"/>
  <c r="D189" i="3"/>
  <c r="E182" i="3"/>
  <c r="D182" i="3"/>
  <c r="E177" i="3"/>
  <c r="D177" i="3"/>
  <c r="E171" i="3"/>
  <c r="D171" i="3"/>
  <c r="E168" i="3"/>
  <c r="D168" i="3"/>
  <c r="E164" i="3"/>
  <c r="D164" i="3"/>
  <c r="E161" i="3"/>
  <c r="D161" i="3"/>
  <c r="E158" i="3"/>
  <c r="D158" i="3"/>
  <c r="E152" i="3"/>
  <c r="D152" i="3"/>
  <c r="E142" i="3"/>
  <c r="D142" i="3"/>
  <c r="E133" i="3"/>
  <c r="D133" i="3"/>
  <c r="E127" i="3"/>
  <c r="D127" i="3"/>
  <c r="E124" i="3"/>
  <c r="D124" i="3"/>
  <c r="E119" i="3"/>
  <c r="D119" i="3"/>
  <c r="E115" i="3"/>
  <c r="D115" i="3"/>
  <c r="E109" i="3"/>
  <c r="D109" i="3"/>
  <c r="E106" i="3"/>
  <c r="D106" i="3"/>
  <c r="E99" i="3"/>
  <c r="D99" i="3"/>
  <c r="E94" i="3"/>
  <c r="D94" i="3"/>
  <c r="E90" i="3"/>
  <c r="D90" i="3"/>
  <c r="E82" i="3"/>
  <c r="D82" i="3"/>
  <c r="E78" i="3"/>
  <c r="D78" i="3"/>
  <c r="E74" i="3"/>
  <c r="D74" i="3"/>
  <c r="E71" i="3"/>
  <c r="D71" i="3"/>
  <c r="E61" i="3"/>
  <c r="D61" i="3"/>
  <c r="E58" i="3"/>
  <c r="D58" i="3"/>
  <c r="E54" i="3"/>
  <c r="D54" i="3"/>
  <c r="E51" i="3"/>
  <c r="D51" i="3"/>
  <c r="E48" i="3"/>
  <c r="D48" i="3"/>
  <c r="E45" i="3"/>
  <c r="D45" i="3"/>
  <c r="E40" i="3"/>
  <c r="D40" i="3"/>
  <c r="E37" i="3"/>
  <c r="D37" i="3"/>
  <c r="E33" i="3"/>
  <c r="D33" i="3"/>
  <c r="E30" i="3"/>
  <c r="D30" i="3"/>
  <c r="E26" i="3"/>
  <c r="D26" i="3"/>
  <c r="E22" i="3"/>
  <c r="D22" i="3"/>
  <c r="E15" i="3"/>
  <c r="D15" i="3"/>
  <c r="E10" i="3"/>
  <c r="D10" i="3"/>
  <c r="E173" i="1"/>
  <c r="D173" i="1"/>
  <c r="E170" i="1"/>
  <c r="D170" i="1"/>
  <c r="E161" i="1"/>
  <c r="D161" i="1"/>
  <c r="E158" i="1"/>
  <c r="D158" i="1"/>
  <c r="E155" i="1"/>
  <c r="D155" i="1"/>
  <c r="E152" i="1"/>
  <c r="D152" i="1"/>
  <c r="E143" i="1"/>
  <c r="D143" i="1"/>
  <c r="E140" i="1"/>
  <c r="D140" i="1"/>
  <c r="E137" i="1"/>
  <c r="D137" i="1"/>
  <c r="E133" i="1"/>
  <c r="D133" i="1"/>
  <c r="E125" i="1"/>
  <c r="D125" i="1"/>
  <c r="E118" i="1"/>
  <c r="D118" i="1"/>
  <c r="E115" i="1"/>
  <c r="D115" i="1"/>
  <c r="E110" i="1"/>
  <c r="D110" i="1"/>
  <c r="E104" i="1"/>
  <c r="D104" i="1"/>
  <c r="E93" i="1"/>
  <c r="D93" i="1"/>
  <c r="E84" i="1"/>
  <c r="D84" i="1"/>
  <c r="E79" i="1"/>
  <c r="D79" i="1"/>
  <c r="E72" i="1"/>
  <c r="D72" i="1"/>
  <c r="E62" i="1"/>
  <c r="D62" i="1"/>
  <c r="E54" i="1"/>
  <c r="D54" i="1"/>
  <c r="E48" i="1"/>
  <c r="D48" i="1"/>
  <c r="E41" i="1"/>
  <c r="D41" i="1"/>
  <c r="E35" i="1"/>
  <c r="D35" i="1"/>
  <c r="E19" i="1"/>
  <c r="D19" i="1"/>
  <c r="E13" i="1"/>
  <c r="D13" i="1"/>
  <c r="E10" i="1"/>
  <c r="D10" i="1"/>
  <c r="U11" i="5" l="1"/>
  <c r="N55" i="5"/>
  <c r="N93" i="5" s="1"/>
  <c r="I93" i="5"/>
  <c r="E93" i="5"/>
  <c r="G93" i="5"/>
  <c r="U50" i="5"/>
  <c r="U35" i="5"/>
  <c r="O91" i="5"/>
  <c r="O50" i="5"/>
  <c r="T93" i="5"/>
  <c r="H9" i="2"/>
  <c r="H10" i="2"/>
  <c r="C7" i="6"/>
  <c r="H8" i="2"/>
  <c r="U91" i="5"/>
  <c r="S93" i="5"/>
  <c r="E129" i="3"/>
  <c r="E227" i="3"/>
  <c r="D129" i="3"/>
  <c r="D227" i="3"/>
  <c r="D122" i="1"/>
  <c r="E88" i="1"/>
  <c r="E122" i="1"/>
  <c r="D45" i="1"/>
  <c r="D147" i="1"/>
  <c r="D88" i="1"/>
  <c r="E45" i="1"/>
  <c r="E147" i="1"/>
  <c r="O24" i="5"/>
  <c r="U25" i="5"/>
  <c r="U24" i="5" s="1"/>
  <c r="O45" i="5"/>
  <c r="U46" i="5"/>
  <c r="U45" i="5" s="1"/>
  <c r="O30" i="5"/>
  <c r="U31" i="5"/>
  <c r="U30" i="5" s="1"/>
  <c r="H16" i="2"/>
  <c r="H12" i="2"/>
  <c r="H4" i="2"/>
  <c r="AA41" i="6"/>
  <c r="W41" i="6"/>
  <c r="S41" i="6"/>
  <c r="O41" i="6"/>
  <c r="K41" i="6"/>
  <c r="G41" i="6"/>
  <c r="C41" i="6"/>
  <c r="AB7" i="6"/>
  <c r="X7" i="6"/>
  <c r="T7" i="6"/>
  <c r="P7" i="6"/>
  <c r="L7" i="6"/>
  <c r="H7" i="6"/>
  <c r="D7" i="6"/>
  <c r="E6" i="3"/>
  <c r="U41" i="6"/>
  <c r="E41" i="6"/>
  <c r="Z7" i="6"/>
  <c r="R7" i="6"/>
  <c r="J7" i="6"/>
  <c r="H15" i="2"/>
  <c r="H11" i="2"/>
  <c r="H7" i="2"/>
  <c r="H3" i="2"/>
  <c r="Z41" i="6"/>
  <c r="V41" i="6"/>
  <c r="R41" i="6"/>
  <c r="N41" i="6"/>
  <c r="J41" i="6"/>
  <c r="F41" i="6"/>
  <c r="B41" i="6"/>
  <c r="AA7" i="6"/>
  <c r="W7" i="6"/>
  <c r="S7" i="6"/>
  <c r="O7" i="6"/>
  <c r="K7" i="6"/>
  <c r="G7" i="6"/>
  <c r="D6" i="3"/>
  <c r="AC41" i="6"/>
  <c r="Y41" i="6"/>
  <c r="Q41" i="6"/>
  <c r="I41" i="6"/>
  <c r="V7" i="6"/>
  <c r="N7" i="6"/>
  <c r="B7" i="6"/>
  <c r="E6" i="1"/>
  <c r="H14" i="2"/>
  <c r="H6" i="2"/>
  <c r="H2" i="2"/>
  <c r="H13" i="2"/>
  <c r="H5" i="2"/>
  <c r="H1" i="2"/>
  <c r="AB41" i="6"/>
  <c r="X41" i="6"/>
  <c r="T41" i="6"/>
  <c r="P41" i="6"/>
  <c r="L41" i="6"/>
  <c r="H41" i="6"/>
  <c r="D41" i="6"/>
  <c r="AC7" i="6"/>
  <c r="Y7" i="6"/>
  <c r="U7" i="6"/>
  <c r="Q7" i="6"/>
  <c r="M7" i="6"/>
  <c r="I7" i="6"/>
  <c r="E7" i="6"/>
  <c r="D6" i="1"/>
  <c r="M41" i="6"/>
  <c r="F7" i="6"/>
  <c r="D2" i="2"/>
  <c r="B2" i="2"/>
  <c r="U1" i="2" s="1"/>
  <c r="O55" i="5" l="1"/>
  <c r="O93" i="5" s="1"/>
  <c r="D148" i="1"/>
  <c r="U55" i="5"/>
  <c r="U93" i="5" s="1"/>
  <c r="E228" i="3"/>
  <c r="D228" i="3"/>
  <c r="E89" i="1"/>
  <c r="D89" i="1"/>
  <c r="E148" i="1"/>
  <c r="A3" i="1"/>
  <c r="A4" i="6"/>
  <c r="T1" i="2"/>
  <c r="P1" i="2"/>
  <c r="S1" i="2"/>
  <c r="O1" i="2"/>
  <c r="R1" i="2"/>
  <c r="Q1" i="2"/>
  <c r="D168" i="1" l="1"/>
  <c r="D166" i="1" s="1"/>
  <c r="D178" i="1" s="1"/>
  <c r="D179" i="1" s="1"/>
  <c r="D180" i="1" s="1"/>
  <c r="E166" i="1"/>
  <c r="E178" i="1" s="1"/>
  <c r="E179" i="1" s="1"/>
  <c r="E180" i="1" s="1"/>
  <c r="N1" i="2"/>
  <c r="D229" i="3" l="1"/>
  <c r="E229" i="3"/>
  <c r="A1" i="1"/>
  <c r="A2" i="5"/>
  <c r="A2" i="6"/>
  <c r="A1" i="3"/>
  <c r="A34" i="6"/>
</calcChain>
</file>

<file path=xl/comments1.xml><?xml version="1.0" encoding="utf-8"?>
<comments xmlns="http://schemas.openxmlformats.org/spreadsheetml/2006/main">
  <authors>
    <author>Autor</author>
  </authors>
  <commentList>
    <comment ref="B42" authorId="0" shapeId="0">
      <text>
        <r>
          <rPr>
            <b/>
            <sz val="9"/>
            <color indexed="81"/>
            <rFont val="Tahoma"/>
            <family val="2"/>
          </rPr>
          <t>SUMATORIA
(ACTIVO CORRIENTE
+ ACTIVO NO CORRIENTE) - INVERSION EN ASOCIADAS</t>
        </r>
      </text>
    </comment>
    <comment ref="B43" authorId="0" shapeId="0">
      <text>
        <r>
          <rPr>
            <b/>
            <sz val="9"/>
            <color indexed="81"/>
            <rFont val="Tahoma"/>
            <family val="2"/>
          </rPr>
          <t xml:space="preserve">
1.2.7</t>
        </r>
      </text>
    </comment>
    <comment ref="B46" authorId="0" shapeId="0">
      <text>
        <r>
          <rPr>
            <b/>
            <sz val="9"/>
            <color indexed="81"/>
            <rFont val="Tahoma"/>
            <family val="2"/>
          </rPr>
          <t>SUMATORIA
(PASIVO CORRIENTE
+ PASIVO NO CORRIENTE)</t>
        </r>
        <r>
          <rPr>
            <sz val="9"/>
            <color indexed="81"/>
            <rFont val="Tahoma"/>
            <family val="2"/>
          </rPr>
          <t xml:space="preserve">
</t>
        </r>
      </text>
    </comment>
  </commentList>
</comments>
</file>

<file path=xl/sharedStrings.xml><?xml version="1.0" encoding="utf-8"?>
<sst xmlns="http://schemas.openxmlformats.org/spreadsheetml/2006/main" count="5163" uniqueCount="3169">
  <si>
    <t>Estado de Situación Financiera o Balance General</t>
  </si>
  <si>
    <t>Nota</t>
  </si>
  <si>
    <t>1.</t>
  </si>
  <si>
    <t>ACTIVO</t>
  </si>
  <si>
    <t>1.1.</t>
  </si>
  <si>
    <t>Activo Corriente</t>
  </si>
  <si>
    <t>1.1.1.</t>
  </si>
  <si>
    <t>Efectivo y equivalentes de efectivo</t>
  </si>
  <si>
    <t>03</t>
  </si>
  <si>
    <t>1.1.1.01.</t>
  </si>
  <si>
    <t>Efectivo</t>
  </si>
  <si>
    <t>1.1.1.02.</t>
  </si>
  <si>
    <t>Equivalentes de efectivo</t>
  </si>
  <si>
    <t>1.1.2.</t>
  </si>
  <si>
    <t>Inversiones a corto plazo</t>
  </si>
  <si>
    <t>04</t>
  </si>
  <si>
    <t>1.1.2.01.</t>
  </si>
  <si>
    <t>Títulos y valores a valor razonable a corto plazo</t>
  </si>
  <si>
    <t>1.1.2.02.</t>
  </si>
  <si>
    <t>Títulos y valores a costo amortizado a corto plazo</t>
  </si>
  <si>
    <t>1.1.2.03.</t>
  </si>
  <si>
    <t>Instrumentos Derivados a corto plazo</t>
  </si>
  <si>
    <t>1.1.2.98.</t>
  </si>
  <si>
    <t>Otras inversiones a corto plazo</t>
  </si>
  <si>
    <t>1.1.2.99.</t>
  </si>
  <si>
    <t>Previsiones para deterioro de inversiones a corto plazo *</t>
  </si>
  <si>
    <t>1.1.3.</t>
  </si>
  <si>
    <t>Cuentas a cobrar a corto plazo</t>
  </si>
  <si>
    <t>05</t>
  </si>
  <si>
    <t>1.1.3.01.</t>
  </si>
  <si>
    <t>Impuestos a cobrar a corto plazo</t>
  </si>
  <si>
    <t>1.1.3.02.</t>
  </si>
  <si>
    <t>Contribuciones sociales a cobrar a corto plazo</t>
  </si>
  <si>
    <t>1.1.3.03.</t>
  </si>
  <si>
    <t>Ventas a cobrar a corto plazo</t>
  </si>
  <si>
    <t>1.1.3.04.</t>
  </si>
  <si>
    <t>Servicios y derechos a cobrar a corto plazo</t>
  </si>
  <si>
    <t>1.1.3.05.</t>
  </si>
  <si>
    <t>Ingresos de la propiedad a cobrar a corto plazo</t>
  </si>
  <si>
    <t>1.1.3.06.</t>
  </si>
  <si>
    <t>Transferencias a cobrar a corto plazo</t>
  </si>
  <si>
    <t>1.1.3.07.</t>
  </si>
  <si>
    <t>Préstamos a corto plazo</t>
  </si>
  <si>
    <t>1.1.3.08.</t>
  </si>
  <si>
    <t>Documentos a cobrar a corto plazo</t>
  </si>
  <si>
    <t>1.1.3.09.</t>
  </si>
  <si>
    <t>Anticipos a corto plazo</t>
  </si>
  <si>
    <t>1.1.3.10.</t>
  </si>
  <si>
    <t>Deudores por avales ejecutados a corto plazo</t>
  </si>
  <si>
    <t>1.1.3.11.</t>
  </si>
  <si>
    <t>Planillas salariales</t>
  </si>
  <si>
    <t>1.1.3.12.</t>
  </si>
  <si>
    <t>Beneficios Sociales</t>
  </si>
  <si>
    <t>1.1.3.97.</t>
  </si>
  <si>
    <t>Cuentas a cobrar en gestión judicial</t>
  </si>
  <si>
    <t>1.1.3.98.</t>
  </si>
  <si>
    <t>Otras cuentas a cobrar a corto plazo</t>
  </si>
  <si>
    <t>1.1.3.99.</t>
  </si>
  <si>
    <t>Previsiones para deterioro de cuentas a cobrar a corto plazo *</t>
  </si>
  <si>
    <t>1.1.4.</t>
  </si>
  <si>
    <t>Inventarios</t>
  </si>
  <si>
    <t>06</t>
  </si>
  <si>
    <t>1.1.4.01.</t>
  </si>
  <si>
    <t>Materiales y suministros para consumo y prestación de servicios</t>
  </si>
  <si>
    <t>1.1.4.02.</t>
  </si>
  <si>
    <t>Bienes para la venta</t>
  </si>
  <si>
    <t>1.1.4.03.</t>
  </si>
  <si>
    <t>Materias primas y bienes en producción</t>
  </si>
  <si>
    <t>1.1.4.04.</t>
  </si>
  <si>
    <t>Bienes a Transferir sin contraprestación - Donaciones</t>
  </si>
  <si>
    <t>1.1.4.99.</t>
  </si>
  <si>
    <t>Previsiones para deterioro y pérdidas de inventario *</t>
  </si>
  <si>
    <t>1.1.9.</t>
  </si>
  <si>
    <t>Otros activos a corto plazo</t>
  </si>
  <si>
    <t>07</t>
  </si>
  <si>
    <t>1.1.9.01.</t>
  </si>
  <si>
    <t>Gastos a devengar a corto plazo</t>
  </si>
  <si>
    <t>1.1.9.02.</t>
  </si>
  <si>
    <t>Cuentas transitorias</t>
  </si>
  <si>
    <t>1.1.9.99.</t>
  </si>
  <si>
    <t>Activos a corto plazo sujetos a depuración contable</t>
  </si>
  <si>
    <t>Total del Activo Corriente</t>
  </si>
  <si>
    <t>1.2.</t>
  </si>
  <si>
    <t>Activo No Corriente</t>
  </si>
  <si>
    <t>1.2.2.</t>
  </si>
  <si>
    <t>Inversiones a largo plazo</t>
  </si>
  <si>
    <t>08</t>
  </si>
  <si>
    <t>1.2.2.01.</t>
  </si>
  <si>
    <t>Títulos y valores a valor razonable a largo plazo</t>
  </si>
  <si>
    <t>1.2.2.02.</t>
  </si>
  <si>
    <t>Títulos y valores a costo amortizado a largo plazo</t>
  </si>
  <si>
    <t>1.2.2.03.</t>
  </si>
  <si>
    <t>Instrumentos Derivados a largo plazo</t>
  </si>
  <si>
    <t>1.2.2.98.</t>
  </si>
  <si>
    <t>Otras inversiones a largo plazo</t>
  </si>
  <si>
    <t>1.2.2.99.</t>
  </si>
  <si>
    <t>Previsiones para deterioro de inversiones a largo plazo *</t>
  </si>
  <si>
    <t>1.2.3.</t>
  </si>
  <si>
    <t>Cuentas a cobrar a largo plazo</t>
  </si>
  <si>
    <t>09</t>
  </si>
  <si>
    <t>1.2.3.03.</t>
  </si>
  <si>
    <t>Ventas a cobrar a largo plazo</t>
  </si>
  <si>
    <t>1.2.3.07.</t>
  </si>
  <si>
    <t>Préstamos a largo plazo</t>
  </si>
  <si>
    <t>1.2.3.08.</t>
  </si>
  <si>
    <t>Documentos a cobrar a largo plazo</t>
  </si>
  <si>
    <t>1.2.3.09.</t>
  </si>
  <si>
    <t>Anticipos a largo plazo</t>
  </si>
  <si>
    <t>1.2.3.10.</t>
  </si>
  <si>
    <t>Deudores por avales ejecutados a largo plazo</t>
  </si>
  <si>
    <t>1.2.3.98.</t>
  </si>
  <si>
    <t>Otras cuentas a cobrar a largo plazo</t>
  </si>
  <si>
    <t>1.2.3.99.</t>
  </si>
  <si>
    <t>Previsiones para deterioro de cuentas a cobrar a largo plazo *</t>
  </si>
  <si>
    <t>1.2.5.</t>
  </si>
  <si>
    <t>Bienes no concesionados</t>
  </si>
  <si>
    <t>10</t>
  </si>
  <si>
    <t>1.2.5.01.</t>
  </si>
  <si>
    <t>Propiedades, planta y equipos explotados</t>
  </si>
  <si>
    <t>1.2.5.02.</t>
  </si>
  <si>
    <t>Propiedades de inversión</t>
  </si>
  <si>
    <t>1.2.5.03.</t>
  </si>
  <si>
    <t>Activos biológicos no concesionados</t>
  </si>
  <si>
    <t>1.2.5.04.</t>
  </si>
  <si>
    <t>Bienes de infraestructura y de beneficio y uso público en servicio</t>
  </si>
  <si>
    <t>1.2.5.05.</t>
  </si>
  <si>
    <t>Bienes históricos y culturales</t>
  </si>
  <si>
    <t>1.2.5.06.</t>
  </si>
  <si>
    <t>Recursos naturales en explotación</t>
  </si>
  <si>
    <t>1.2.5.07.</t>
  </si>
  <si>
    <t>Recursos naturales en conservación</t>
  </si>
  <si>
    <t>1.2.5.08.</t>
  </si>
  <si>
    <t>Bienes intangibles no concesionados</t>
  </si>
  <si>
    <t>1.2.5.99.</t>
  </si>
  <si>
    <t>Bienes no concesionados en proceso de producción</t>
  </si>
  <si>
    <t>1.2.6.</t>
  </si>
  <si>
    <t>Bienes concesionados</t>
  </si>
  <si>
    <t>11</t>
  </si>
  <si>
    <t>1.2.6.01.</t>
  </si>
  <si>
    <t>Propiedades, planta y equipos concesionados</t>
  </si>
  <si>
    <t>1.2.6.03.</t>
  </si>
  <si>
    <t>Activos biológicos concesionados</t>
  </si>
  <si>
    <t>1.2.6.04.</t>
  </si>
  <si>
    <t>Bienes de infraestructura y de beneficio y uso público concesionados</t>
  </si>
  <si>
    <t>1.2.6.06.</t>
  </si>
  <si>
    <t>Recursos naturales concesionados</t>
  </si>
  <si>
    <t>1.2.6.08.</t>
  </si>
  <si>
    <t>Bienes intangibles concesionados</t>
  </si>
  <si>
    <t>1.2.6.99.</t>
  </si>
  <si>
    <t>Bienes concesionados en proceso de producción</t>
  </si>
  <si>
    <t>1.2.7.</t>
  </si>
  <si>
    <t>Inversiones patrimoniales - Método de participación</t>
  </si>
  <si>
    <t>12</t>
  </si>
  <si>
    <t>1.2.7.01.</t>
  </si>
  <si>
    <t>Inversiones patrimoniales en el sector privado interno</t>
  </si>
  <si>
    <t>1.2.7.02.</t>
  </si>
  <si>
    <t>Inversiones patrimoniales en el sector público interno</t>
  </si>
  <si>
    <t>1.2.7.03.</t>
  </si>
  <si>
    <t>Inversiones patrimoniales en el sector externo</t>
  </si>
  <si>
    <t>1.2.7.04.</t>
  </si>
  <si>
    <t>Inversiones patrimoniales en fideicomisos</t>
  </si>
  <si>
    <t>1.2.9.</t>
  </si>
  <si>
    <t>Otros activos a largo plazo</t>
  </si>
  <si>
    <t>13</t>
  </si>
  <si>
    <t>1.2.9.01.</t>
  </si>
  <si>
    <t>Gastos a devengar a largo plazo</t>
  </si>
  <si>
    <t>1.2.9.03.</t>
  </si>
  <si>
    <t>Objetos de valor</t>
  </si>
  <si>
    <t>1.2.9.99.</t>
  </si>
  <si>
    <t>Activos a largo plazo sujetos a depuración contable</t>
  </si>
  <si>
    <t>Total del Activo no Corriente</t>
  </si>
  <si>
    <t>TOTAL DEL ACTIVO</t>
  </si>
  <si>
    <t xml:space="preserve"> </t>
  </si>
  <si>
    <t>2.</t>
  </si>
  <si>
    <t>PASIVO</t>
  </si>
  <si>
    <t>2.1.</t>
  </si>
  <si>
    <t>Pasivo Corriente</t>
  </si>
  <si>
    <t>2.1.1.</t>
  </si>
  <si>
    <t>Deudas a corto plazo</t>
  </si>
  <si>
    <t>14</t>
  </si>
  <si>
    <t>2.1.1.01.</t>
  </si>
  <si>
    <t>Deudas comerciales a corto plazo</t>
  </si>
  <si>
    <t>2.1.1.02.</t>
  </si>
  <si>
    <t>Deudas sociales y fiscales a corto plazo</t>
  </si>
  <si>
    <t>2.1.1.03.</t>
  </si>
  <si>
    <t>Transferencias a pagar a corto plazo</t>
  </si>
  <si>
    <t>2.1.1.04.</t>
  </si>
  <si>
    <t>Documentos a pagar a corto plazo</t>
  </si>
  <si>
    <t>2.1.1.05.</t>
  </si>
  <si>
    <t>Inversiones patrimoniales a pagar a corto plazo</t>
  </si>
  <si>
    <t>2.1.1.06.</t>
  </si>
  <si>
    <t>Deudas por avales ejecutados a corto plazo</t>
  </si>
  <si>
    <t>2.1.1.07.</t>
  </si>
  <si>
    <t>Deudas por anticipos a corto plazo</t>
  </si>
  <si>
    <t>2.1.1.08.</t>
  </si>
  <si>
    <t>Deudas por Planillas salariales</t>
  </si>
  <si>
    <t>2.1.1.13.</t>
  </si>
  <si>
    <t>Deudas por Creditos Fiscales a favor de terceros c/p</t>
  </si>
  <si>
    <t>2.1.1.99.</t>
  </si>
  <si>
    <t>Otras deudas a corto plazo</t>
  </si>
  <si>
    <t>2.1.2.</t>
  </si>
  <si>
    <t>Endeudamiento público a corto plazo</t>
  </si>
  <si>
    <t>15</t>
  </si>
  <si>
    <t>2.1.2.01.</t>
  </si>
  <si>
    <t>Títulos y valores de la deuda pública a pagar a corto plazo</t>
  </si>
  <si>
    <t>2.1.2.02.</t>
  </si>
  <si>
    <t>Préstamos a pagar a corto plazo</t>
  </si>
  <si>
    <t>2.1.2.03.</t>
  </si>
  <si>
    <t>Deudas asumidas a corto plazo</t>
  </si>
  <si>
    <t>2.1.2.04.</t>
  </si>
  <si>
    <t>Endeudamiento de Tesorería a corto plazo</t>
  </si>
  <si>
    <t>2.1.2.05.</t>
  </si>
  <si>
    <t>Endeudamiento público a valor razonable</t>
  </si>
  <si>
    <t>2.1.3.</t>
  </si>
  <si>
    <t>Fondos de terceros y en garantía</t>
  </si>
  <si>
    <t>16</t>
  </si>
  <si>
    <t>2.1.3.01.</t>
  </si>
  <si>
    <t>Fondos de terceros en la Caja Única</t>
  </si>
  <si>
    <t>2.1.3.02.</t>
  </si>
  <si>
    <t>Recaudación por cuenta de terceros</t>
  </si>
  <si>
    <t>2.1.3.03.</t>
  </si>
  <si>
    <t>Depósitos en garantía</t>
  </si>
  <si>
    <t>2.1.3.99.</t>
  </si>
  <si>
    <t>Otros fondos de terceros</t>
  </si>
  <si>
    <t>2.1.4.</t>
  </si>
  <si>
    <t>Provisiones y reservas técnicas a corto plazo</t>
  </si>
  <si>
    <t>17</t>
  </si>
  <si>
    <t>2.1.4.01.</t>
  </si>
  <si>
    <t>Provisiones a corto plazo</t>
  </si>
  <si>
    <t>2.1.4.02.</t>
  </si>
  <si>
    <t>Reservas técnicas a corto plazo</t>
  </si>
  <si>
    <t>2.1.9.</t>
  </si>
  <si>
    <t>Otros pasivos a corto plazo</t>
  </si>
  <si>
    <t>18</t>
  </si>
  <si>
    <t>2.1.9.01.</t>
  </si>
  <si>
    <t>Ingresos a devengar a corto plazo</t>
  </si>
  <si>
    <t>2.1.9.02.</t>
  </si>
  <si>
    <t>Instrumentos Derivados a pagar a corto plazo</t>
  </si>
  <si>
    <t>2.1.9.99.</t>
  </si>
  <si>
    <t>Pasivos a corto plazo sujetos a depuración contable</t>
  </si>
  <si>
    <t>Total del Pasivo Corriente</t>
  </si>
  <si>
    <t>2.2.</t>
  </si>
  <si>
    <t>Pasivo No Corriente</t>
  </si>
  <si>
    <t>2.2.1.</t>
  </si>
  <si>
    <t>Deudas a largo plazo</t>
  </si>
  <si>
    <t>19</t>
  </si>
  <si>
    <t>2.2.1.01.</t>
  </si>
  <si>
    <t>Deudas comerciales a largo plazo</t>
  </si>
  <si>
    <t>2.2.1.02.</t>
  </si>
  <si>
    <t>Deudas sociales y fiscales a largo plazo</t>
  </si>
  <si>
    <t>2.2.1.04.</t>
  </si>
  <si>
    <t>Documentos a pagar a largo plazo</t>
  </si>
  <si>
    <t>2.2.1.05.</t>
  </si>
  <si>
    <t>Inversiones patrimoniales a pagar a largo plazo</t>
  </si>
  <si>
    <t>2.2.1.06.</t>
  </si>
  <si>
    <t>Deudas por avales ejecutados a largo plazo</t>
  </si>
  <si>
    <t>2.2.1.07.</t>
  </si>
  <si>
    <t>Deudas por anticipos a largo plazo</t>
  </si>
  <si>
    <t>2.2.1.99.</t>
  </si>
  <si>
    <t>Otras deudas a largo plazo</t>
  </si>
  <si>
    <t>2.2.2.</t>
  </si>
  <si>
    <t>Endeudamiento público a largo plazo</t>
  </si>
  <si>
    <t>20</t>
  </si>
  <si>
    <t>2.2.2.01.</t>
  </si>
  <si>
    <t>Títulos y valores de la deuda pública a pagar a largo plazo</t>
  </si>
  <si>
    <t>2.2.2.02.</t>
  </si>
  <si>
    <t>Préstamos a pagar a largo plazo</t>
  </si>
  <si>
    <t>2.2.2.03.</t>
  </si>
  <si>
    <t>Deudas asumidas a largo plazo</t>
  </si>
  <si>
    <t>2.2.3.</t>
  </si>
  <si>
    <t>21</t>
  </si>
  <si>
    <t>2.2.3.01.</t>
  </si>
  <si>
    <t>2.2.3.99.</t>
  </si>
  <si>
    <t>2.2.4.</t>
  </si>
  <si>
    <t>Provisiones y reservas técnicas a largo plazo</t>
  </si>
  <si>
    <t>22</t>
  </si>
  <si>
    <t>2.2.4.01.</t>
  </si>
  <si>
    <t>Provisiones a largo plazo</t>
  </si>
  <si>
    <t>2.2.4.02.</t>
  </si>
  <si>
    <t>Reservas técnicas a largo plazo</t>
  </si>
  <si>
    <t>2.2.9.</t>
  </si>
  <si>
    <t>Otros pasivos a largo plazo</t>
  </si>
  <si>
    <t>23</t>
  </si>
  <si>
    <t>2.2.9.01.</t>
  </si>
  <si>
    <t>Ingresos a devengar a largo plazo</t>
  </si>
  <si>
    <t>2.2.9.02.</t>
  </si>
  <si>
    <t>Instrumentos Derivados a pagar a largo plazo</t>
  </si>
  <si>
    <t>2.2.9.99.</t>
  </si>
  <si>
    <t>Pasivos a largo plazo sujetos a depuración contable</t>
  </si>
  <si>
    <t>Total del Pasivo no Corriente</t>
  </si>
  <si>
    <t>TOTAL DEL PASIVO</t>
  </si>
  <si>
    <t>3.</t>
  </si>
  <si>
    <t>PATRIMONIO</t>
  </si>
  <si>
    <t>3.1.</t>
  </si>
  <si>
    <t>Patrimonio público</t>
  </si>
  <si>
    <t>3.1.1.</t>
  </si>
  <si>
    <t>Capital</t>
  </si>
  <si>
    <t>24</t>
  </si>
  <si>
    <t>3.1.1.01.</t>
  </si>
  <si>
    <t>Capital inicial</t>
  </si>
  <si>
    <t>3.1.1.02.</t>
  </si>
  <si>
    <t>Incorporaciones al capital</t>
  </si>
  <si>
    <t>3.1.2.</t>
  </si>
  <si>
    <t>Transferencias de capital</t>
  </si>
  <si>
    <t>25</t>
  </si>
  <si>
    <t>3.1.2.01.</t>
  </si>
  <si>
    <t>Donaciones de capital</t>
  </si>
  <si>
    <t>3.1.2.99.</t>
  </si>
  <si>
    <t>Otras transferencias de capital</t>
  </si>
  <si>
    <t>3.1.3.</t>
  </si>
  <si>
    <t>Reservas</t>
  </si>
  <si>
    <t>26</t>
  </si>
  <si>
    <t>3.1.3.01.</t>
  </si>
  <si>
    <t>Revaluación de bienes</t>
  </si>
  <si>
    <t>3.1.3.99.</t>
  </si>
  <si>
    <t>Otras reservas</t>
  </si>
  <si>
    <t>3.1.4.</t>
  </si>
  <si>
    <t>Variaciones no asignables a reservas</t>
  </si>
  <si>
    <t>27</t>
  </si>
  <si>
    <t>3.1.4.01.</t>
  </si>
  <si>
    <t>Diferencias de conversión de moneda extranjera</t>
  </si>
  <si>
    <t>3.1.4.02.</t>
  </si>
  <si>
    <t>Diferencias de valor razonable de activos financieros destinados a la venta</t>
  </si>
  <si>
    <t>3.1.4.03.</t>
  </si>
  <si>
    <t>Diferencias de valor razonable de instrumentos financieros designados como cobertura</t>
  </si>
  <si>
    <t>3.1.4.99.</t>
  </si>
  <si>
    <t>Otras variaciones no asignables a reservas</t>
  </si>
  <si>
    <t>3.1.5.</t>
  </si>
  <si>
    <t>Resultados acumulados</t>
  </si>
  <si>
    <t>28</t>
  </si>
  <si>
    <t>3.1.5.01.</t>
  </si>
  <si>
    <t>Resultados acumulados de ejercicios anteriores</t>
  </si>
  <si>
    <t>3.1.5.02.</t>
  </si>
  <si>
    <t>Resultado del ejercicio</t>
  </si>
  <si>
    <t>3.2.</t>
  </si>
  <si>
    <t>Intereses minoritarios</t>
  </si>
  <si>
    <t>3.2.1.</t>
  </si>
  <si>
    <t>Intereses minoritarios - Participaciones en el patrimonio de entidades controladas</t>
  </si>
  <si>
    <t>29</t>
  </si>
  <si>
    <t>3.2.1.01.</t>
  </si>
  <si>
    <t>Intereses minoritarios - Participaciones en el patrimonio de entidades del sector gobierno general</t>
  </si>
  <si>
    <t>3.2.1.02.</t>
  </si>
  <si>
    <t>Intereses minoritarios - Participaciones en el patrimonio de empresas públicas e instituciones públicas financieras</t>
  </si>
  <si>
    <t>3.2.2.</t>
  </si>
  <si>
    <t>Intereses minoritarios - Evolución</t>
  </si>
  <si>
    <t>30</t>
  </si>
  <si>
    <t>3.2.2.01.</t>
  </si>
  <si>
    <t>Intereses minoritarios - Evolución por reservas</t>
  </si>
  <si>
    <t>3.2.2.02.</t>
  </si>
  <si>
    <t>Intereses minoritarios - Evolución por variaciones no asignables a reservas</t>
  </si>
  <si>
    <t>3.2.2.03.</t>
  </si>
  <si>
    <t>Intereses minoritarios - Evolución por resultados acumulados</t>
  </si>
  <si>
    <t>3.2.2.99.</t>
  </si>
  <si>
    <t>Intereses minoritarios - Evolución por otros componentes del patrimonio</t>
  </si>
  <si>
    <t>TOTAL DEL PATRIMONIO</t>
  </si>
  <si>
    <t>TOTAL DEL PASIVO Y PATRIMONIO</t>
  </si>
  <si>
    <t>IDEntidad</t>
  </si>
  <si>
    <t>Periodo</t>
  </si>
  <si>
    <t>UnidadTiempoPeriodo</t>
  </si>
  <si>
    <t>B1</t>
  </si>
  <si>
    <t>B2</t>
  </si>
  <si>
    <t>B3</t>
  </si>
  <si>
    <t>B4</t>
  </si>
  <si>
    <t>B5</t>
  </si>
  <si>
    <t>B6</t>
  </si>
  <si>
    <t>T1</t>
  </si>
  <si>
    <t>T2</t>
  </si>
  <si>
    <t>T3</t>
  </si>
  <si>
    <t>T4</t>
  </si>
  <si>
    <t>C1</t>
  </si>
  <si>
    <t>C2</t>
  </si>
  <si>
    <t>C3</t>
  </si>
  <si>
    <t>S1</t>
  </si>
  <si>
    <t>S2</t>
  </si>
  <si>
    <t>A1</t>
  </si>
  <si>
    <t>Estado de Rendimiento Financiera</t>
  </si>
  <si>
    <t>4.</t>
  </si>
  <si>
    <t>INGRESOS</t>
  </si>
  <si>
    <t>4.1.</t>
  </si>
  <si>
    <t>Impuestos</t>
  </si>
  <si>
    <t>4.1.1.</t>
  </si>
  <si>
    <t>Impuestos sobre los ingresos, las utilidades y las ganancias de capital</t>
  </si>
  <si>
    <t>4.1.1.01.</t>
  </si>
  <si>
    <t>Impuestos sobre los ingresos y utilidades de personas físicas</t>
  </si>
  <si>
    <t>4.1.1.02.</t>
  </si>
  <si>
    <t>Impuestos sobre los ingresos y utilidades de personas jurídicas</t>
  </si>
  <si>
    <t>4.1.1.03.</t>
  </si>
  <si>
    <t>Impuestos sobre dividendos e intereses de títulos valores</t>
  </si>
  <si>
    <t>4.1.1.99.</t>
  </si>
  <si>
    <t>Otros impuestos sobre los ingresos, las utilidades y las ganancias de capital</t>
  </si>
  <si>
    <t>4.1.2.</t>
  </si>
  <si>
    <t>Impuestos sobre la propiedad</t>
  </si>
  <si>
    <t>32</t>
  </si>
  <si>
    <t>4.1.2.01.</t>
  </si>
  <si>
    <t>Impuesto sobre la propiedad de bienes inmuebles</t>
  </si>
  <si>
    <t>4.1.2.02.</t>
  </si>
  <si>
    <t>Impuesto sobre la propiedad de vehículos, aeronaves y embarcaciones</t>
  </si>
  <si>
    <t>4.1.2.03.</t>
  </si>
  <si>
    <t>Impuesto sobre el patrimonio</t>
  </si>
  <si>
    <t>4.1.2.04.</t>
  </si>
  <si>
    <t>Impuesto sobre los traspasos de bienes inmuebles</t>
  </si>
  <si>
    <t>4.1.2.05.</t>
  </si>
  <si>
    <t>Impuesto a los traspasos de vehículos, aeronaves y embarcaciones</t>
  </si>
  <si>
    <t>4.1.2.99.</t>
  </si>
  <si>
    <t>Otros impuestos a la propiedad</t>
  </si>
  <si>
    <t>4.1.3.</t>
  </si>
  <si>
    <t>Impuestos sobre bienes y servicios</t>
  </si>
  <si>
    <t>33</t>
  </si>
  <si>
    <t>4.1.3.01.</t>
  </si>
  <si>
    <t>Impuestos generales y selectivos sobre ventas y consumo</t>
  </si>
  <si>
    <t>4.1.3.02.</t>
  </si>
  <si>
    <t>Impuestos específicos sobre la producción y consumo de bienes y servicios</t>
  </si>
  <si>
    <t>4.1.3.99.</t>
  </si>
  <si>
    <t>Otros impuestos sobre bienes y servicios</t>
  </si>
  <si>
    <t>4.1.4.</t>
  </si>
  <si>
    <t>Impuestos sobre el comercio exterior y transacciones internacionales</t>
  </si>
  <si>
    <t>34</t>
  </si>
  <si>
    <t>4.1.4.01.</t>
  </si>
  <si>
    <t>Impuestos a las importaciones</t>
  </si>
  <si>
    <t>4.1.4.02.</t>
  </si>
  <si>
    <t>Impuestos a las exportaciones</t>
  </si>
  <si>
    <t>4.1.4.99.</t>
  </si>
  <si>
    <t>Otros impuestos sobre el comercio exterior y transacciones internacionales</t>
  </si>
  <si>
    <t>4.1.9.</t>
  </si>
  <si>
    <t>Otros impuestos</t>
  </si>
  <si>
    <t>35</t>
  </si>
  <si>
    <t>4.1.9.99.</t>
  </si>
  <si>
    <t>Otros impuestos sin discriminar</t>
  </si>
  <si>
    <t>4.2.</t>
  </si>
  <si>
    <t>Contribuciones sociales</t>
  </si>
  <si>
    <t>4.2.1.</t>
  </si>
  <si>
    <t>Contribuciones a la seguridad social</t>
  </si>
  <si>
    <t>36</t>
  </si>
  <si>
    <t>4.2.1.01.</t>
  </si>
  <si>
    <t>Contribuciones al seguro de pensiones</t>
  </si>
  <si>
    <t>4.2.1.02.</t>
  </si>
  <si>
    <t>Contribuciones a regímenes especiales de pensiones</t>
  </si>
  <si>
    <t>4.2.1.03.</t>
  </si>
  <si>
    <t>Contribuciones al seguro de salud</t>
  </si>
  <si>
    <t>4.2.9.</t>
  </si>
  <si>
    <t>Contribuciones sociales diversas</t>
  </si>
  <si>
    <t>37</t>
  </si>
  <si>
    <t>4.2.9.99.</t>
  </si>
  <si>
    <t>Otras contribuciones sociales</t>
  </si>
  <si>
    <t>4.3.</t>
  </si>
  <si>
    <t>Multas, sanciones, remates y confiscaciones de origen no tributario</t>
  </si>
  <si>
    <t>4.3.1.</t>
  </si>
  <si>
    <t>Multas y sanciones administrativas</t>
  </si>
  <si>
    <t>38</t>
  </si>
  <si>
    <t>4.3.1.01.</t>
  </si>
  <si>
    <t>Multas de tránsito</t>
  </si>
  <si>
    <t>4.3.1.02.</t>
  </si>
  <si>
    <t>Multas por atraso en el pago de bienes y servicios</t>
  </si>
  <si>
    <t>4.3.1.03.</t>
  </si>
  <si>
    <t>Sanciones administrativas</t>
  </si>
  <si>
    <t>4.3.1.99.</t>
  </si>
  <si>
    <t>Otras multas</t>
  </si>
  <si>
    <t>4.3.2.</t>
  </si>
  <si>
    <t>Remates y confiscaciones de origen no tributario</t>
  </si>
  <si>
    <t>39</t>
  </si>
  <si>
    <t>4.3.2.99.</t>
  </si>
  <si>
    <t>Otros remates y confiscaciones de origen no tributario</t>
  </si>
  <si>
    <t>4.4.</t>
  </si>
  <si>
    <t>Ingresos y resultados positivos por ventas</t>
  </si>
  <si>
    <t>4.4.1.</t>
  </si>
  <si>
    <t>Ventas de bienes y servicios</t>
  </si>
  <si>
    <t>40</t>
  </si>
  <si>
    <t>4.4.1.01.</t>
  </si>
  <si>
    <t>Ventas de bienes</t>
  </si>
  <si>
    <t>4.4.1.02.</t>
  </si>
  <si>
    <t>Ventas de servicios</t>
  </si>
  <si>
    <t>4.4.2.</t>
  </si>
  <si>
    <t>Derechos administrativos</t>
  </si>
  <si>
    <t>41</t>
  </si>
  <si>
    <t>4.4.2.01.</t>
  </si>
  <si>
    <t>Derechos administrativos a los servicios de transporte</t>
  </si>
  <si>
    <t>4.4.2.99.</t>
  </si>
  <si>
    <t>Otros derechos administrativos</t>
  </si>
  <si>
    <t>4.4.3.</t>
  </si>
  <si>
    <t>Comisiones por préstamos</t>
  </si>
  <si>
    <t>42</t>
  </si>
  <si>
    <t>4.4.3.01.</t>
  </si>
  <si>
    <t>Comisiones por préstamos al sector privado interno</t>
  </si>
  <si>
    <t>4.4.3.02.</t>
  </si>
  <si>
    <t>Comisiones por préstamos al sector público interno</t>
  </si>
  <si>
    <t>4.4.3.03.</t>
  </si>
  <si>
    <t>Comisiones por préstamos al sector externo</t>
  </si>
  <si>
    <t>4.4.4.</t>
  </si>
  <si>
    <t>Resultados positivos por ventas de inversiones</t>
  </si>
  <si>
    <t>43</t>
  </si>
  <si>
    <t>4.4.4.01.</t>
  </si>
  <si>
    <t>Resultados positivos por ventas de inversiones patrimoniales - Método de participación</t>
  </si>
  <si>
    <t>4.4.4.98.</t>
  </si>
  <si>
    <t xml:space="preserve">Resultados positivos por ventas de otras inversiones </t>
  </si>
  <si>
    <t>4.4.5.</t>
  </si>
  <si>
    <t>Resultados positivos por ventas e intercambio de bienes</t>
  </si>
  <si>
    <t>44</t>
  </si>
  <si>
    <t>4.4.5.01.</t>
  </si>
  <si>
    <t>Resultados positivos por ventas de construcciones terminadas</t>
  </si>
  <si>
    <t>4.4.5.02.</t>
  </si>
  <si>
    <t>Resultados positivos por ventas de propiedades, planta y equipo</t>
  </si>
  <si>
    <t>4.4.5.03.</t>
  </si>
  <si>
    <t>Resultados positivos por ventas de activos biológicos</t>
  </si>
  <si>
    <t>4.4.5.04.</t>
  </si>
  <si>
    <t>Resultados positivos por ventas de bienes intangibles</t>
  </si>
  <si>
    <t>4.4.5.05.</t>
  </si>
  <si>
    <t>Resultados positivos por ventas por arrendamientos financieros</t>
  </si>
  <si>
    <t>4.4.5.06.</t>
  </si>
  <si>
    <t>Resultados positivos por intercambio de propiedades, planta y equipo</t>
  </si>
  <si>
    <t>4.4.5.07.</t>
  </si>
  <si>
    <t>Resultados positivos por intercambio de bienes intangibles</t>
  </si>
  <si>
    <t>4.4.5.08.</t>
  </si>
  <si>
    <t>Resultados positivos por intercambio de Inventario</t>
  </si>
  <si>
    <t>4.4.5.09.</t>
  </si>
  <si>
    <t>Resultados positivos por la entrega de activos como medio de pago de impuestos</t>
  </si>
  <si>
    <t>4.4.6.</t>
  </si>
  <si>
    <t>Resultados positivos por la recuperacion de dinero mal agreditado de periodos anteriores</t>
  </si>
  <si>
    <t>45</t>
  </si>
  <si>
    <t>4.4.6.01.</t>
  </si>
  <si>
    <t>Resultados positivos por la recuperacion de sumas de periodos anteriores</t>
  </si>
  <si>
    <t>4.5.</t>
  </si>
  <si>
    <t>Ingresos de la propiedad</t>
  </si>
  <si>
    <t>4.5.1.</t>
  </si>
  <si>
    <t>Rentas de inversiones y de colocación de efectivo</t>
  </si>
  <si>
    <t>46</t>
  </si>
  <si>
    <t>4.5.1.01.</t>
  </si>
  <si>
    <t>Intereses por equivalentes de efectivo</t>
  </si>
  <si>
    <t>4.5.1.02.</t>
  </si>
  <si>
    <t>Intereses por títulos y valores a costo amortizado</t>
  </si>
  <si>
    <t>4.5.1.98.</t>
  </si>
  <si>
    <t>Resultados positivos de otras inversiones</t>
  </si>
  <si>
    <t>4.5.2.</t>
  </si>
  <si>
    <t>Alquileres y derechos sobre bienes</t>
  </si>
  <si>
    <t>47</t>
  </si>
  <si>
    <t>4.5.2.01.</t>
  </si>
  <si>
    <t>Alquileres</t>
  </si>
  <si>
    <t>4.5.2.02.</t>
  </si>
  <si>
    <t>Ingresos por concesiones</t>
  </si>
  <si>
    <t>4.5.2.03.</t>
  </si>
  <si>
    <t>Derechos sobre bienes intangibles</t>
  </si>
  <si>
    <t>4.5.9.</t>
  </si>
  <si>
    <t>Otros ingresos de la propiedad</t>
  </si>
  <si>
    <t>48</t>
  </si>
  <si>
    <t>4.5.9.03.</t>
  </si>
  <si>
    <t>Intereses por ventas</t>
  </si>
  <si>
    <t>4.5.9.07.</t>
  </si>
  <si>
    <t>Intereses por préstamos</t>
  </si>
  <si>
    <t>4.5.9.08.</t>
  </si>
  <si>
    <t>Intereses por documentos a cobrar</t>
  </si>
  <si>
    <t>4.5.9.10.</t>
  </si>
  <si>
    <t>Intereses por deudores por avales ejecutados</t>
  </si>
  <si>
    <t>4.5.9.97.</t>
  </si>
  <si>
    <t>Intereses por cuentas a cobrar en gestión judicial</t>
  </si>
  <si>
    <t>4.5.9.99.</t>
  </si>
  <si>
    <t>Intereses por otras cuentas a cobrar</t>
  </si>
  <si>
    <t>4.6.</t>
  </si>
  <si>
    <t>Transferencias</t>
  </si>
  <si>
    <t>4.6.1.</t>
  </si>
  <si>
    <t>Transferencias corrientes</t>
  </si>
  <si>
    <t>49</t>
  </si>
  <si>
    <t>4.6.1.01.</t>
  </si>
  <si>
    <t>Transferencias corrientes del sector privado interno</t>
  </si>
  <si>
    <t>4.6.1.02.</t>
  </si>
  <si>
    <t>Transferencias corrientes del sector público interno</t>
  </si>
  <si>
    <t>4.6.1.03.</t>
  </si>
  <si>
    <t>Transferencias corrientes del sector externo</t>
  </si>
  <si>
    <t>4.6.2.</t>
  </si>
  <si>
    <t>50</t>
  </si>
  <si>
    <t>4.6.2.01.</t>
  </si>
  <si>
    <t>Transferencias de capital del sector privado interno</t>
  </si>
  <si>
    <t>4.6.2.02.</t>
  </si>
  <si>
    <t>Transferencias de capital del sector público interno</t>
  </si>
  <si>
    <t>4.6.2.03.</t>
  </si>
  <si>
    <t>Transferencias de capital del sector externo</t>
  </si>
  <si>
    <t>4.9.</t>
  </si>
  <si>
    <t>Otros ingresos</t>
  </si>
  <si>
    <t>4.9.1.</t>
  </si>
  <si>
    <t>Resultados positivos por tenencia y por exposición a la inflación</t>
  </si>
  <si>
    <t>51</t>
  </si>
  <si>
    <t>4.9.1.01.</t>
  </si>
  <si>
    <t>Diferencias de cambio positivas por activos</t>
  </si>
  <si>
    <t>4.9.1.02.</t>
  </si>
  <si>
    <t>Diferencias de cambio positivas por pasivos</t>
  </si>
  <si>
    <t>4.9.1.03.</t>
  </si>
  <si>
    <t>Resultados positivos por tenencia de activos no derivados</t>
  </si>
  <si>
    <t>4.9.1.04.</t>
  </si>
  <si>
    <t>Resultados positivos por tenencia de pasivos no derivados</t>
  </si>
  <si>
    <t>4.9.1.05.</t>
  </si>
  <si>
    <t>Resultados positivos por tenencia de instrumentos financieros derivados</t>
  </si>
  <si>
    <t>4.9.1.06.</t>
  </si>
  <si>
    <t>Resultado positivo por exposición a la inflación</t>
  </si>
  <si>
    <t>4.9.2.</t>
  </si>
  <si>
    <t>Reversión de consumo de bienes</t>
  </si>
  <si>
    <t>52</t>
  </si>
  <si>
    <t>4.9.2.01.</t>
  </si>
  <si>
    <t>Reversión de consumo de bienes no concesionados</t>
  </si>
  <si>
    <t>4.9.2.02.</t>
  </si>
  <si>
    <t>Reversión de consumo de bienes concesionados</t>
  </si>
  <si>
    <t>4.9.3.</t>
  </si>
  <si>
    <t>Reversión de pérdidas por deterioro y desvalorización de bienes</t>
  </si>
  <si>
    <t>53</t>
  </si>
  <si>
    <t>4.9.3.01.</t>
  </si>
  <si>
    <t>Reversión de deterioro y desvalorización de bienes no concesionados</t>
  </si>
  <si>
    <t>4.9.3.02.</t>
  </si>
  <si>
    <t>Reversión de deterioro y desvalorización de bienes concesionados</t>
  </si>
  <si>
    <t>4.9.3.03.</t>
  </si>
  <si>
    <t xml:space="preserve">Reversión de deterioro y desvalorización de inventarios por materiales y suministros para consumo y prestación de servicios </t>
  </si>
  <si>
    <t>4.9.3.04.</t>
  </si>
  <si>
    <t>Reversión de deterioro y desvalorización de inventarios por bienes para la venta</t>
  </si>
  <si>
    <t>4.9.3.05.</t>
  </si>
  <si>
    <t>Reversión de deterioro y desvalorización de inventarios por materias primas y bienes en producción</t>
  </si>
  <si>
    <t>4.9.4.</t>
  </si>
  <si>
    <t>Recuperación de previsiones</t>
  </si>
  <si>
    <t>54</t>
  </si>
  <si>
    <t>4.9.4.01.</t>
  </si>
  <si>
    <t>Recuperación de previsiones para deterioro de inversiones</t>
  </si>
  <si>
    <t>4.9.4.02.</t>
  </si>
  <si>
    <t>Recuperación de previsiones para deterioro de cuentas a cobrar</t>
  </si>
  <si>
    <t>4.9.4.03.</t>
  </si>
  <si>
    <t>Recuperación de previsiones para deterioro y pérdidas de inventarios</t>
  </si>
  <si>
    <t>4.9.5.</t>
  </si>
  <si>
    <t>Recuperación de provisiones y reservas técnicas</t>
  </si>
  <si>
    <t>55</t>
  </si>
  <si>
    <t>4.9.5.01.</t>
  </si>
  <si>
    <t>Recuperación de provisiones para litigios y demandas</t>
  </si>
  <si>
    <t>4.9.5.02.</t>
  </si>
  <si>
    <t>Recuperación de provisiones para reestructuración</t>
  </si>
  <si>
    <t>4.9.5.03.</t>
  </si>
  <si>
    <t>Recuperación de provisiones para beneficios a los empleados</t>
  </si>
  <si>
    <t>4.9.5.99.</t>
  </si>
  <si>
    <t>Recuperación de otras provisiones y reservas técnicas</t>
  </si>
  <si>
    <t>4.9.6.</t>
  </si>
  <si>
    <t>Resultados positivos de inversiones patrimoniales y participación de los intereses minoritarios</t>
  </si>
  <si>
    <t>56</t>
  </si>
  <si>
    <t>4.9.6.01.</t>
  </si>
  <si>
    <t>Resultados positivos de inversiones patrimoniales</t>
  </si>
  <si>
    <t>4.9.6.02.</t>
  </si>
  <si>
    <t>Participación de los intereses minoritarios en el resultado neto negativo</t>
  </si>
  <si>
    <t>4.9.9.</t>
  </si>
  <si>
    <t>Otros ingresos y resultados positivos</t>
  </si>
  <si>
    <t>57</t>
  </si>
  <si>
    <t>4.9.9.99.</t>
  </si>
  <si>
    <t>Ingresos y resultados positivos varios</t>
  </si>
  <si>
    <t>TOTAL DE INGRESOS</t>
  </si>
  <si>
    <t>5.</t>
  </si>
  <si>
    <t>GASTOS</t>
  </si>
  <si>
    <t>5.1.</t>
  </si>
  <si>
    <t>Gastos de funcionamiento</t>
  </si>
  <si>
    <t>5.1.1.</t>
  </si>
  <si>
    <t>Gastos en personal</t>
  </si>
  <si>
    <t>58</t>
  </si>
  <si>
    <t>5.1.1.01.</t>
  </si>
  <si>
    <t>Remuneraciones Básicas</t>
  </si>
  <si>
    <t>5.1.1.02.</t>
  </si>
  <si>
    <t>Remuneraciones eventuales</t>
  </si>
  <si>
    <t>5.1.1.03.</t>
  </si>
  <si>
    <t>Incentivos salariales</t>
  </si>
  <si>
    <t>5.1.1.04.</t>
  </si>
  <si>
    <t>Contribuciones patronales al desarrollo y la seguridad social</t>
  </si>
  <si>
    <t>5.1.1.05.</t>
  </si>
  <si>
    <t>Contribuciones patronales a fondos de pensiones y a otros fondos de capitalización</t>
  </si>
  <si>
    <t>5.1.1.06.</t>
  </si>
  <si>
    <t>Asistencia social y beneficios al personal</t>
  </si>
  <si>
    <t>5.1.1.07.</t>
  </si>
  <si>
    <t>Contribuciones estatales a la seguridad social</t>
  </si>
  <si>
    <t>5.1.1.99.</t>
  </si>
  <si>
    <t>Otros gastos en personal</t>
  </si>
  <si>
    <t>5.1.2.</t>
  </si>
  <si>
    <t>Servicios</t>
  </si>
  <si>
    <t>59</t>
  </si>
  <si>
    <t>5.1.2.01.</t>
  </si>
  <si>
    <t>5.1.2.02.</t>
  </si>
  <si>
    <t>Servicios básicos</t>
  </si>
  <si>
    <t>5.1.2.03.</t>
  </si>
  <si>
    <t>Servicios comerciales y financieros</t>
  </si>
  <si>
    <t>5.1.2.04.</t>
  </si>
  <si>
    <t>Servicios de gestión y apoyo</t>
  </si>
  <si>
    <t>5.1.2.05.</t>
  </si>
  <si>
    <t>Gastos de viaje y transporte</t>
  </si>
  <si>
    <t>5.1.2.06.</t>
  </si>
  <si>
    <t>Seguros, reaseguros y otras obligaciones</t>
  </si>
  <si>
    <t>5.1.2.07.</t>
  </si>
  <si>
    <t>Capacitación y protocolo</t>
  </si>
  <si>
    <t>5.1.2.08.</t>
  </si>
  <si>
    <t>Mantenimiento y reparaciones</t>
  </si>
  <si>
    <t>5.1.2.99.</t>
  </si>
  <si>
    <t>Otros servicios</t>
  </si>
  <si>
    <t>5.1.3.</t>
  </si>
  <si>
    <t>Materiales y suministros consumidos</t>
  </si>
  <si>
    <t>60</t>
  </si>
  <si>
    <t>5.1.3.01.</t>
  </si>
  <si>
    <t>Productos químicos y conexos</t>
  </si>
  <si>
    <t>5.1.3.02.</t>
  </si>
  <si>
    <t>Alimentos y productos agropecuarios</t>
  </si>
  <si>
    <t>5.1.3.03.</t>
  </si>
  <si>
    <t>Materiales y productos de uso en la construcción y mantenimiento</t>
  </si>
  <si>
    <t>5.1.3.04.</t>
  </si>
  <si>
    <t>Herramientas, repuestos y accesorios</t>
  </si>
  <si>
    <t>5.1.3.99.</t>
  </si>
  <si>
    <t>Útiles, materiales y suministros diversos</t>
  </si>
  <si>
    <t>5.1.4.</t>
  </si>
  <si>
    <t>Consumo de bienes distintos de inventarios</t>
  </si>
  <si>
    <t>61</t>
  </si>
  <si>
    <t>5.1.4.01.</t>
  </si>
  <si>
    <t>Consumo de bienes no concesionados</t>
  </si>
  <si>
    <t>5.1.4.02.</t>
  </si>
  <si>
    <t>Consumo de bienes concesionados</t>
  </si>
  <si>
    <t>5.1.5.</t>
  </si>
  <si>
    <t xml:space="preserve">Pérdidas por deterioro y desvalorización de bienes </t>
  </si>
  <si>
    <t>62</t>
  </si>
  <si>
    <t>5.1.5.01.</t>
  </si>
  <si>
    <t>Deterioro y desvalorización de bienes no concesionados</t>
  </si>
  <si>
    <t>5.1.5.02.</t>
  </si>
  <si>
    <t>Deterioro y desvalorización de bienes concesionados</t>
  </si>
  <si>
    <t>5.1.6.</t>
  </si>
  <si>
    <t>Deterioro y pérdidas de inventarios</t>
  </si>
  <si>
    <t>63</t>
  </si>
  <si>
    <t>5.1.6.01.</t>
  </si>
  <si>
    <t>Deterioro y pérdidas de inventarios por materiales y suministros para consumo y prestación de servicios</t>
  </si>
  <si>
    <t>5.1.6.02.</t>
  </si>
  <si>
    <t>Deterioro y pérdidas de inventarios por bienes para la venta</t>
  </si>
  <si>
    <t>5.1.6.03.</t>
  </si>
  <si>
    <t>Deterioro y pérdidas de inventarios por materias primas y bienes en producción</t>
  </si>
  <si>
    <t>5.1.7.</t>
  </si>
  <si>
    <t>Deterioro de inversiones y cuentas a cobrar</t>
  </si>
  <si>
    <t>64</t>
  </si>
  <si>
    <t>5.1.7.01.</t>
  </si>
  <si>
    <t>Deterioro de inversiones</t>
  </si>
  <si>
    <t>5.1.7.02.</t>
  </si>
  <si>
    <t>Deterioro de cuentas a cobrar</t>
  </si>
  <si>
    <t>5.1.8.</t>
  </si>
  <si>
    <t>Cargos por provisiones y reservas técnicas</t>
  </si>
  <si>
    <t>65</t>
  </si>
  <si>
    <t>5.1.8.01.</t>
  </si>
  <si>
    <t>Cargos por litigios y demandas</t>
  </si>
  <si>
    <t>5.1.8.02.</t>
  </si>
  <si>
    <t>Cargos por reestructuración</t>
  </si>
  <si>
    <t>5.1.8.03.</t>
  </si>
  <si>
    <t>Cargos por beneficios a los empleados</t>
  </si>
  <si>
    <t>5.1.8.99.</t>
  </si>
  <si>
    <t>Cargos por otras provisiones y reservas técnicas</t>
  </si>
  <si>
    <t>5.2.</t>
  </si>
  <si>
    <t>Gastos financieros</t>
  </si>
  <si>
    <t>5.2.1.</t>
  </si>
  <si>
    <t>Intereses sobre endeudamiento público</t>
  </si>
  <si>
    <t>66</t>
  </si>
  <si>
    <t>5.2.1.01.</t>
  </si>
  <si>
    <t>Intereses sobre títulos y valores de la deuda pública</t>
  </si>
  <si>
    <t>5.2.1.02.</t>
  </si>
  <si>
    <t>Intereses sobre préstamos</t>
  </si>
  <si>
    <t>5.2.1.03.</t>
  </si>
  <si>
    <t>Intereses sobre deudas asumidas</t>
  </si>
  <si>
    <t>5.2.1.04.</t>
  </si>
  <si>
    <t>Intereses sobre endeudamiento de Tesorería</t>
  </si>
  <si>
    <t>5.2.9.</t>
  </si>
  <si>
    <t>Otros gastos financieros</t>
  </si>
  <si>
    <t>67</t>
  </si>
  <si>
    <t>5.2.9.01.</t>
  </si>
  <si>
    <t>Intereses por deudas comerciales</t>
  </si>
  <si>
    <t>5.2.9.02.</t>
  </si>
  <si>
    <t>Intereses por deudas sociales y fiscales</t>
  </si>
  <si>
    <t>5.2.9.04.</t>
  </si>
  <si>
    <t>Intereses por documentos a pagar</t>
  </si>
  <si>
    <t>5.2.9.06.</t>
  </si>
  <si>
    <t>Intereses sobre deudas por avales ejecutados</t>
  </si>
  <si>
    <t>5.2.9.99.</t>
  </si>
  <si>
    <t>Otros gastos financieros varios</t>
  </si>
  <si>
    <t>5.3.</t>
  </si>
  <si>
    <t>Gastos y resultados negativos por ventas</t>
  </si>
  <si>
    <t>5.3.1.</t>
  </si>
  <si>
    <t>Costo de ventas de bienes y servicios</t>
  </si>
  <si>
    <t>68</t>
  </si>
  <si>
    <t>5.3.1.01.</t>
  </si>
  <si>
    <t>Costo de ventas de bienes</t>
  </si>
  <si>
    <t>5.3.1.02.</t>
  </si>
  <si>
    <t>Costo de ventas de servicios</t>
  </si>
  <si>
    <t>5.3.2.</t>
  </si>
  <si>
    <t>Resultados negativos por ventas de inversiones</t>
  </si>
  <si>
    <t>69</t>
  </si>
  <si>
    <t>5.3.2.02.</t>
  </si>
  <si>
    <t>Resultados negativos por ventas de inversiones patrimoniales - Método de participación</t>
  </si>
  <si>
    <t>5.3.2.99.</t>
  </si>
  <si>
    <t>Resultados negativos por ventas de otras inversiones</t>
  </si>
  <si>
    <t>5.3.3.</t>
  </si>
  <si>
    <t>Resultados negativos por ventas e intercambio de bienes</t>
  </si>
  <si>
    <t>70</t>
  </si>
  <si>
    <t>5.3.3.01.</t>
  </si>
  <si>
    <t>Resultados negativos por ventas de construcciones terminadas</t>
  </si>
  <si>
    <t>5.3.3.02.</t>
  </si>
  <si>
    <t>Resultados negativos por ventas de propiedades, planta y equipo</t>
  </si>
  <si>
    <t>5.3.3.03.</t>
  </si>
  <si>
    <t>Resultados negativos por ventas de activos biológicos</t>
  </si>
  <si>
    <t>5.3.3.04.</t>
  </si>
  <si>
    <t>Resultados negativos por ventas de bienes intangibles</t>
  </si>
  <si>
    <t>5.3.3.05.</t>
  </si>
  <si>
    <t>Resultados negativos por ventas por arrendamientos financieros</t>
  </si>
  <si>
    <t>5.3.3.06.</t>
  </si>
  <si>
    <t>Resultados negativos por intercambio de propiedades, planta y equipo</t>
  </si>
  <si>
    <t>5.3.3.07.</t>
  </si>
  <si>
    <t>Resultados negativos por intercambio de bienes intangibles</t>
  </si>
  <si>
    <t>5.4.</t>
  </si>
  <si>
    <t>5.4.1.</t>
  </si>
  <si>
    <t>71</t>
  </si>
  <si>
    <t>5.4.1.01.</t>
  </si>
  <si>
    <t>Transferencias corrientes al sector privado interno</t>
  </si>
  <si>
    <t>5.4.1.02.</t>
  </si>
  <si>
    <t>Transferencias corrientes al sector público interno</t>
  </si>
  <si>
    <t>5.4.1.03.</t>
  </si>
  <si>
    <t>Transferencias corrientes al sector externo</t>
  </si>
  <si>
    <t>5.4.2.</t>
  </si>
  <si>
    <t>72</t>
  </si>
  <si>
    <t>5.4.2.01.</t>
  </si>
  <si>
    <t>Transferencias de capital al sector privado interno</t>
  </si>
  <si>
    <t>5.4.2.02.</t>
  </si>
  <si>
    <t>Transferencias de capital al sector público interno</t>
  </si>
  <si>
    <t>5.4.2.03.</t>
  </si>
  <si>
    <t>Transferencias de capital al sector externo</t>
  </si>
  <si>
    <t>5.9.</t>
  </si>
  <si>
    <t>Otros gastos</t>
  </si>
  <si>
    <t>5.9.1.</t>
  </si>
  <si>
    <t>Resultados negativos por tenencia y por exposición a la inflación</t>
  </si>
  <si>
    <t>73</t>
  </si>
  <si>
    <t>5.9.1.01.</t>
  </si>
  <si>
    <t>Diferencias de cambio negativas por activos</t>
  </si>
  <si>
    <t>5.9.1.02.</t>
  </si>
  <si>
    <t>Diferencias de cambio negativas por pasivos</t>
  </si>
  <si>
    <t>5.9.1.03.</t>
  </si>
  <si>
    <t>Resultados negativos por tenencia de activos no derivados</t>
  </si>
  <si>
    <t>5.9.1.04.</t>
  </si>
  <si>
    <t>Resultados negativos por tenencia de pasivos no derivados</t>
  </si>
  <si>
    <t>5.9.1.05.</t>
  </si>
  <si>
    <t>Resultados negativos por tenencia de instrumentos financieros derivados</t>
  </si>
  <si>
    <t>5.9.1.06.</t>
  </si>
  <si>
    <t>Resultado negativo por exposición a la inflación</t>
  </si>
  <si>
    <t>5.9.2.</t>
  </si>
  <si>
    <t>Resultados negativos de inversiones patrimoniales y participación de los intereses minoritarios</t>
  </si>
  <si>
    <t>74</t>
  </si>
  <si>
    <t>5.9.2.01.</t>
  </si>
  <si>
    <t>Resultados negativos de inversiones patrimoniales</t>
  </si>
  <si>
    <t>5.9.2.02.</t>
  </si>
  <si>
    <t>Participación de los intereses minoritarios en el resultado neto positivo</t>
  </si>
  <si>
    <t>5.9.9.</t>
  </si>
  <si>
    <t>Otros gastos y resultados negativos</t>
  </si>
  <si>
    <t>75</t>
  </si>
  <si>
    <t>5.9.9.02.</t>
  </si>
  <si>
    <t>Impuestos, multas y recargos moratorios</t>
  </si>
  <si>
    <t>5.9.9.03.</t>
  </si>
  <si>
    <t>Devoluciones de impuestos</t>
  </si>
  <si>
    <t>5.9.9.99.</t>
  </si>
  <si>
    <t>Gastos y resultados negativos varios</t>
  </si>
  <si>
    <t>TOTAL DE GASTOS</t>
  </si>
  <si>
    <t>AHORRO y/o DESAHORRO DEL PERIODO</t>
  </si>
  <si>
    <t>Incrementos</t>
  </si>
  <si>
    <t>Estado de Situación y Evolución de Bienes</t>
  </si>
  <si>
    <t>Descripción(*)</t>
  </si>
  <si>
    <t xml:space="preserve">Saldos al Inicio  </t>
  </si>
  <si>
    <t>Movimientos en el ejercicio</t>
  </si>
  <si>
    <t>Depreciaciones / Agotamiento / Amortizaciones</t>
  </si>
  <si>
    <t>Valores de Origen</t>
  </si>
  <si>
    <t>Mejoras
Inversiones</t>
  </si>
  <si>
    <t>Revaluaciones</t>
  </si>
  <si>
    <t>Deterioros</t>
  </si>
  <si>
    <t>Altas</t>
  </si>
  <si>
    <t>Bajas</t>
  </si>
  <si>
    <t>Otros Movimientos</t>
  </si>
  <si>
    <t>Acumuladas al inicio</t>
  </si>
  <si>
    <t>Del ejercicio</t>
  </si>
  <si>
    <t>Acumuladas al cierre</t>
  </si>
  <si>
    <t>BIENES NO CONCESIONADOS</t>
  </si>
  <si>
    <t xml:space="preserve">Propiedades, planta y equipos explotados </t>
  </si>
  <si>
    <t xml:space="preserve"> Tierras y terrenos</t>
  </si>
  <si>
    <t xml:space="preserve"> Edificios</t>
  </si>
  <si>
    <t xml:space="preserve"> Maquinaria y equipos para la  producción</t>
  </si>
  <si>
    <t xml:space="preserve"> Equipos de transporte, tracción y elevación</t>
  </si>
  <si>
    <t xml:space="preserve"> Equipos de comunicación</t>
  </si>
  <si>
    <t xml:space="preserve"> Equipos y mobiliario de oficina</t>
  </si>
  <si>
    <t xml:space="preserve"> Equipos para computación</t>
  </si>
  <si>
    <t xml:space="preserve"> Equipos sanitario, de laboratorio e investigación</t>
  </si>
  <si>
    <t xml:space="preserve"> Equipos y mobiliario educacional, deportivo y recreativo</t>
  </si>
  <si>
    <t xml:space="preserve"> Equipos de seguridad, orden, vigilancia y control público</t>
  </si>
  <si>
    <t>Semovientes</t>
  </si>
  <si>
    <t xml:space="preserve"> Maquinarias, equipos y mobiliarios diversos</t>
  </si>
  <si>
    <t>Activos biológicos</t>
  </si>
  <si>
    <t xml:space="preserve"> Plantas y árboles</t>
  </si>
  <si>
    <t xml:space="preserve"> Semovientes</t>
  </si>
  <si>
    <t xml:space="preserve"> Obras marítimas y fluviales</t>
  </si>
  <si>
    <t xml:space="preserve"> Centrales y redes de comunicación y energía</t>
  </si>
  <si>
    <t xml:space="preserve"> Otros bienes de infraestructura y de beneficio y uso público en servicio</t>
  </si>
  <si>
    <t xml:space="preserve"> Inmuebles históricos y culturales</t>
  </si>
  <si>
    <t xml:space="preserve"> Piezas y obras históricas y de colección</t>
  </si>
  <si>
    <t xml:space="preserve"> Otros bienes históricos y culturales</t>
  </si>
  <si>
    <t xml:space="preserve"> Recursos naturales no renovables</t>
  </si>
  <si>
    <t xml:space="preserve"> Recursos naturales renovables</t>
  </si>
  <si>
    <t>Bienes intangibles</t>
  </si>
  <si>
    <t>Patentes y marcas registradas</t>
  </si>
  <si>
    <t>Derechos de autor</t>
  </si>
  <si>
    <t>Software y programas</t>
  </si>
  <si>
    <t>Otros bienes intangibles</t>
  </si>
  <si>
    <t>Propiedades, planta y equipo</t>
  </si>
  <si>
    <t>Bienes de infraestructura y de beneficio y uso público</t>
  </si>
  <si>
    <t>Bienes culturales</t>
  </si>
  <si>
    <t>SUBTOTALES BIENES NO CONCESIONADOS</t>
  </si>
  <si>
    <t>BIENES CONCESIONADOS</t>
  </si>
  <si>
    <t>Propiedades, planta y equipos</t>
  </si>
  <si>
    <t>Recursos naturales</t>
  </si>
  <si>
    <t>SUBTOTALES BIENES CONCESIONADOS</t>
  </si>
  <si>
    <t>28 de Febrero</t>
  </si>
  <si>
    <t>30 de Abril</t>
  </si>
  <si>
    <t>30 de Junio</t>
  </si>
  <si>
    <t>31 de Agosto</t>
  </si>
  <si>
    <t>31 de Octubre</t>
  </si>
  <si>
    <t>31 de Diciembre</t>
  </si>
  <si>
    <t>31 de Marzo</t>
  </si>
  <si>
    <t>30 de Setiembre</t>
  </si>
  <si>
    <t>ESTADO DE INFORMACIÓN FINANCIERA POR SEGMENTOS</t>
  </si>
  <si>
    <t>- Al 31 de Diciembre de X -</t>
  </si>
  <si>
    <t>Segmentos (*)</t>
  </si>
  <si>
    <t>Servicios Públicos Generales</t>
  </si>
  <si>
    <t>Defensa</t>
  </si>
  <si>
    <t>Órden Público y Seguridad</t>
  </si>
  <si>
    <t>Asuntos Económicos</t>
  </si>
  <si>
    <t>Protección Medio Ambiente</t>
  </si>
  <si>
    <t>Vivenda y Servicios Comunitarios</t>
  </si>
  <si>
    <t>Salud</t>
  </si>
  <si>
    <t>Actividades Recreativas/ Culturales/ Religiosas</t>
  </si>
  <si>
    <t xml:space="preserve">Educación </t>
  </si>
  <si>
    <t>Protección Social</t>
  </si>
  <si>
    <t>Servicios Financieros</t>
  </si>
  <si>
    <t>Conceptos no asignados a los segmentos</t>
  </si>
  <si>
    <t>ELIMINACIONES</t>
  </si>
  <si>
    <t>CONSOLIDACIÓN</t>
  </si>
  <si>
    <t xml:space="preserve">INGRESO DEL SEGMENTO </t>
  </si>
  <si>
    <t>Ingresos de la actividad operativa del segmento</t>
  </si>
  <si>
    <t>Transferencias intersegmentos</t>
  </si>
  <si>
    <t>Otros ingresos asignados al segmento</t>
  </si>
  <si>
    <t>GASTO POR SEGMENTO</t>
  </si>
  <si>
    <t xml:space="preserve">Gastos de la actividad operativa del segmento </t>
  </si>
  <si>
    <t>(…..)</t>
  </si>
  <si>
    <t>Gastos centralizados no asignados</t>
  </si>
  <si>
    <t>Gastos por intereses</t>
  </si>
  <si>
    <t>Participación en el resultado positivo neto de EP</t>
  </si>
  <si>
    <t>Segmentos (*) : Clasificador Funcional Costarricense</t>
  </si>
  <si>
    <t>Otra Información Financiera sobre Segmentos</t>
  </si>
  <si>
    <t>Activos por segmento</t>
  </si>
  <si>
    <t>Inversión en asociadas (método de la participación)</t>
  </si>
  <si>
    <t>Activos centralizados no asignados</t>
  </si>
  <si>
    <t>Total ActivosConsolidados</t>
  </si>
  <si>
    <t>Pasivos por segmento</t>
  </si>
  <si>
    <t>Pasivos corporativos no asignados</t>
  </si>
  <si>
    <t>Total Pasivos Consolidados</t>
  </si>
  <si>
    <t>PODER EJECUTIVO ( MINISTERIOS DE LA REPUBLICA )</t>
  </si>
  <si>
    <t>Presidencia de la República</t>
  </si>
  <si>
    <t>Ministerio de la Presidencia (MP)</t>
  </si>
  <si>
    <t>Ministerio de Gobernación y Policía</t>
  </si>
  <si>
    <t>Ministerio de Relaciones Exteriores y Culto (RE)</t>
  </si>
  <si>
    <t>Ministerio de Seguridad Pública (MSP)</t>
  </si>
  <si>
    <t xml:space="preserve">Ministerio de Hacienda (MHD)  </t>
  </si>
  <si>
    <t xml:space="preserve">Ministerio de Agricultura y Ganadería (MAG)  </t>
  </si>
  <si>
    <t>Ministerio de Economía, Industria y Comercio (MEIC)</t>
  </si>
  <si>
    <t xml:space="preserve">Ministerio de Obras Públicas y Transportes (MOPT) </t>
  </si>
  <si>
    <t xml:space="preserve">Ministerio de Educación Pública (MEP) </t>
  </si>
  <si>
    <t>Ministerio de Salud</t>
  </si>
  <si>
    <t>Ministerio de Trabajo y Seguridad Social (MTSS)</t>
  </si>
  <si>
    <t>Ministerio de Cultura, Juventud y Deportes (MCJD)</t>
  </si>
  <si>
    <t xml:space="preserve">Ministerio de Justicia y Gracia </t>
  </si>
  <si>
    <t>Ministerio de la Vivienda y Asentamientos Humanos (MIVAH)</t>
  </si>
  <si>
    <t>Ministerio de Comercio Exterior (COMEX)</t>
  </si>
  <si>
    <t>Ministerio de Planificación Nacional y Política Económica   (MIDEPLAN)</t>
  </si>
  <si>
    <t>Ministerio de Ciencia y Tecnología (MICIT)</t>
  </si>
  <si>
    <t xml:space="preserve">Ministerio de Ambiente, Energía  y Telecomunicaciones (MINAET) </t>
  </si>
  <si>
    <t>Servicio de la Deuda Pública</t>
  </si>
  <si>
    <t>Regímenes de Pensiones con Cargo al Presupuesto de la  República</t>
  </si>
  <si>
    <t>Obras Específicas</t>
  </si>
  <si>
    <t xml:space="preserve">OTROS PODERES DE LA REPUBLICA </t>
  </si>
  <si>
    <t>Asamblea Legislativa</t>
  </si>
  <si>
    <t>Contraloría General de la República (CGR)</t>
  </si>
  <si>
    <t>Defensoría de los Habitantes de la República</t>
  </si>
  <si>
    <t xml:space="preserve">Poder Judicial </t>
  </si>
  <si>
    <t>Tribunal Supremo de Elecciones (TSE)</t>
  </si>
  <si>
    <t>ÓRGANOS DESCONCENTRADOS</t>
  </si>
  <si>
    <t>Casa de Cultura de Puntarenas</t>
  </si>
  <si>
    <t xml:space="preserve">Centro Costarricense de Producción Cinematográfica </t>
  </si>
  <si>
    <t>Centro Cultural e Histórico José Figueres Ferrer</t>
  </si>
  <si>
    <t>Centro Nacional de la Música</t>
  </si>
  <si>
    <t>Comisión de Energía Atómica de Costa Rica (CEA)</t>
  </si>
  <si>
    <t>Comisión Nacional de Conmemoraciones Históricas (CNCH)</t>
  </si>
  <si>
    <t xml:space="preserve">Comisión Nacional para la Defensa del Idioma </t>
  </si>
  <si>
    <t>Comisión Nacional para la Gestión de la Biodiversidad  (CONAGEBIO)</t>
  </si>
  <si>
    <t>Comisión Nacional de Prevención de Riesgos y Atención de Emergencias  (CNE)</t>
  </si>
  <si>
    <t>Comisión Nacional de Vacunación y Epidemiología</t>
  </si>
  <si>
    <t>Comisión de Ordenamiento y Manejo de la Cuenca Alta del  Río Reventazón  (CONCURE)</t>
  </si>
  <si>
    <t>Consejo Nacional de Concesiones (CNC)</t>
  </si>
  <si>
    <t>Consejo Nacional de la Persona Adulta Mayor (CONAPAM)</t>
  </si>
  <si>
    <t>Consejo Nacional de la Política Pública de la Persona Joven (CPJ)</t>
  </si>
  <si>
    <t>Consejo Nacional de Vialidad (CONAVI)</t>
  </si>
  <si>
    <t>Consejo de Salud Ocupacional (CSO)</t>
  </si>
  <si>
    <t>Consejo de Seguridad Vial (COSEVI)</t>
  </si>
  <si>
    <t>Consejo Superior de Educación (CSE)</t>
  </si>
  <si>
    <t>Consejo Técnico de Asistencia Médico Social (CTAMS)</t>
  </si>
  <si>
    <t xml:space="preserve">Consejo Técnico de Aviación Civil (CTAC) </t>
  </si>
  <si>
    <t>Consejo de Transporte Público (CTP)</t>
  </si>
  <si>
    <t>Dirección Ejecutora de Proyectos de  Mideplan (DEP)</t>
  </si>
  <si>
    <t>Dirección de Geología y Minas</t>
  </si>
  <si>
    <t>Dirección Nacional Centros Educacion y Nutrición  Centros Infantiles Atención Integral ( CEN CINAI )</t>
  </si>
  <si>
    <t>Dirección Nacional de Notariado</t>
  </si>
  <si>
    <t>Fideicomiso Proyecto de Crédito y Desarrollo Agrícola Pequeños Productores de la Zona Norte (PPZN)</t>
  </si>
  <si>
    <t>Fondo de Desarrollo Social y Asignaciones Familiares (FODESAF)</t>
  </si>
  <si>
    <t>Fondo Especial del Servicio Nacional de Guardacostas</t>
  </si>
  <si>
    <t xml:space="preserve">Fondo Nacional de Becas  (FONABE) </t>
  </si>
  <si>
    <t>Fondo Nacional de Financiamiento Forestal (FONAFIFO)</t>
  </si>
  <si>
    <t xml:space="preserve">Fondo de Preinversión de Mideplan  </t>
  </si>
  <si>
    <t>Fondo Nacional de Becas  de Solidaridad Social</t>
  </si>
  <si>
    <t>Fundación Nacional de Clubes 4 - S (FUNAC)</t>
  </si>
  <si>
    <t>Instituto sobre Alcoholismo y Farmacodependencia  (IAFA)</t>
  </si>
  <si>
    <t>Instituto Costarricense sobre Drogas  (ICD)</t>
  </si>
  <si>
    <t>Instituto Costarricense de Investigación y Enseñanza en Nutrición y Salud  (INCIENSA)</t>
  </si>
  <si>
    <t>Instituto Meteorológico Nacional (IMN)</t>
  </si>
  <si>
    <t>Instituto Nacional de Innovación y Transferencia en Tecnología agropecuaria (INTA)</t>
  </si>
  <si>
    <t>Junta Administrativa del Archivo Nacional (JAAN)</t>
  </si>
  <si>
    <t>Junta Administrativa  de la Dirección General de Migración y Extranjería</t>
  </si>
  <si>
    <t>Junta Administrativa de la Imprenta Nacional (JAIN)</t>
  </si>
  <si>
    <t>Junta Directiva  del Parque Recreativo  Nacional Playas de Manuel Antonio</t>
  </si>
  <si>
    <t xml:space="preserve">Junta Administrativa del Registro Nacional  </t>
  </si>
  <si>
    <t>Laboratorio Costarricense de Metrología (LACOMET)</t>
  </si>
  <si>
    <t>Museo de Arte Costarricense</t>
  </si>
  <si>
    <t>Museo de Arte y Diseño Contemporáneo (MADC)</t>
  </si>
  <si>
    <t>Museo Histórico Cultural Juan Santamaría</t>
  </si>
  <si>
    <t>Museo Nacional de Costa Rica (MNCR)</t>
  </si>
  <si>
    <t>Museo Dr. Rafael Ángel Calderón Guardia</t>
  </si>
  <si>
    <t>Oficina de Cooperación Internacional de la Salud (OCIS)</t>
  </si>
  <si>
    <t xml:space="preserve">Patronato de Construcciones, Instalaciones y Adquisiciones de Bienes  </t>
  </si>
  <si>
    <t>Patronato Nacional de Ciegos  (PANACI)</t>
  </si>
  <si>
    <t>Patronato Nacional de Rehabilitación  (PANARE)</t>
  </si>
  <si>
    <t>Parque Marino del Pacífico</t>
  </si>
  <si>
    <t>Servicio Fitosanitario del Estado</t>
  </si>
  <si>
    <t>Servicio Nacional de Salud Animal (SENASA)</t>
  </si>
  <si>
    <t xml:space="preserve"> Sistema Nacional de Áreas de Conservación (SINAC) </t>
  </si>
  <si>
    <t>Teatro Nacional (TNCR)</t>
  </si>
  <si>
    <t>Teatro Popular Mélico Salazar  (TPMS)</t>
  </si>
  <si>
    <t>Tribunal Registral Administrativo  (TRA)</t>
  </si>
  <si>
    <t>Unidad Coordinadora del Programa de Mejoramiento de la  Calidad de la Educación General Básica (PROMECE)</t>
  </si>
  <si>
    <t>Unidad de Coordinación del Proyecto Limón Ciudad Puerto</t>
  </si>
  <si>
    <t xml:space="preserve">Unidad Ejecutora Programa Regularización del Catastro y Registro  </t>
  </si>
  <si>
    <t>INSTITUCIONES DESCENTRALIZADAS NO EMPRESARIALES</t>
  </si>
  <si>
    <t>Autoridad Reguladora de Servicios Públicos (ARESEP)</t>
  </si>
  <si>
    <t xml:space="preserve">Benemérito Cuerpo de Bomberos de Costa Rica </t>
  </si>
  <si>
    <t>Caja Costarricense de Seguro Social (CCSS)</t>
  </si>
  <si>
    <t xml:space="preserve">Colegio Universitario de Cartago (CUC) </t>
  </si>
  <si>
    <t xml:space="preserve">Colegio Universitario de Limón (CUNLIMON) </t>
  </si>
  <si>
    <t>Comisión Nacional de Asuntos Indígenas (CONAI)</t>
  </si>
  <si>
    <t xml:space="preserve">Consejo Nacional de Investigaciones Científicas y Tecnológicas (CONICIT) </t>
  </si>
  <si>
    <t xml:space="preserve">Consejo Nacional de Rectores (CONARE) </t>
  </si>
  <si>
    <t xml:space="preserve">Consejo Nacional de Rehabilitación y Educación Especial  (CNREE) </t>
  </si>
  <si>
    <t>Fondo de Desarrollo de la Provincia de Limón  (FODELI)</t>
  </si>
  <si>
    <t>Instituto Costarricense del Deporte y la Recreación (ICODER)</t>
  </si>
  <si>
    <t xml:space="preserve">Instituto Costarricense de Pesca y Acuicultura  (INCOPESCA)  </t>
  </si>
  <si>
    <t xml:space="preserve">Instituto Costarricense de Turismo (ICT) </t>
  </si>
  <si>
    <t>Instituto de Desarrollo Agrario (IDA)</t>
  </si>
  <si>
    <t>Instituto de Fomento y Asesoría Municipal (IFAM)</t>
  </si>
  <si>
    <t xml:space="preserve">Instituto Mixto de Ayuda Social (IMAS) </t>
  </si>
  <si>
    <t>Instituto Nacional de Aprendizaje (INA)</t>
  </si>
  <si>
    <t>Instituto Nacional de Estadística y Censos (INEC)</t>
  </si>
  <si>
    <t>Instituto Nacional de las Mujeres (INAMU)</t>
  </si>
  <si>
    <t>Instituto Tecnológico de Costa Rica (ITCR)</t>
  </si>
  <si>
    <t xml:space="preserve">Juntas Administrativas de colegios  y otras instituciones educativas </t>
  </si>
  <si>
    <t>Junta Administrativa Colegio San Luis Gonzaga  (JACSLG)</t>
  </si>
  <si>
    <t xml:space="preserve">Junta  de Desarrollo Regional de la Zona Sur de la Provincia de Puntarenas (JUDESUR) </t>
  </si>
  <si>
    <t>Juntas de Educacion</t>
  </si>
  <si>
    <t xml:space="preserve">Oficina Nacional  de Semillas (ONS) </t>
  </si>
  <si>
    <t xml:space="preserve">Patronato Nacional de la Infancia (PANI) </t>
  </si>
  <si>
    <t>Programa Integral de Mercadeo Agropecuario (PIMA)</t>
  </si>
  <si>
    <t>Servicio Nacional de Aguas Subterráneas, Riego y Avenamiento  (SENARA)</t>
  </si>
  <si>
    <t xml:space="preserve">Superintendencia de Telecomunicaciones (SUTEL) </t>
  </si>
  <si>
    <t xml:space="preserve">Universidad de Costa Rica  (UCR) </t>
  </si>
  <si>
    <t>Universidad Estatal a Distancia  (UNED)</t>
  </si>
  <si>
    <t>Universidad Nacional  (UNA)</t>
  </si>
  <si>
    <t xml:space="preserve">Universidad Técnica Nacional </t>
  </si>
  <si>
    <t>GOBIERNOS LOCALES</t>
  </si>
  <si>
    <t xml:space="preserve">Municipalidad de San José </t>
  </si>
  <si>
    <t>Municipalidad de Escazú</t>
  </si>
  <si>
    <t>Municipalidad de Desamparados</t>
  </si>
  <si>
    <t>Municipalidad de Puriscal</t>
  </si>
  <si>
    <t>Municipalidad de Tarrazú</t>
  </si>
  <si>
    <t>Municipalidad de Aserrí</t>
  </si>
  <si>
    <t>Municipalidad de Mora</t>
  </si>
  <si>
    <t>Municipalidad de Goicoechea</t>
  </si>
  <si>
    <t>Municipalidad de Santa Ana</t>
  </si>
  <si>
    <t>Municipalidad de Alajuelita</t>
  </si>
  <si>
    <t>Municipalidad de Vásquez de Coronado</t>
  </si>
  <si>
    <t>Municipalidad de Acosta</t>
  </si>
  <si>
    <t>Municipalidad de Tibás</t>
  </si>
  <si>
    <t>Municipalidad de Moravia</t>
  </si>
  <si>
    <t>Municipalidad de Montes de Oca</t>
  </si>
  <si>
    <t>Municipalidad de Turrubares</t>
  </si>
  <si>
    <t>Municipalidad de Dota</t>
  </si>
  <si>
    <t>Municipalidad de Curridabat</t>
  </si>
  <si>
    <t>Municipalidad de Pérez Zeledón</t>
  </si>
  <si>
    <t>Municipalidad de León Cortés</t>
  </si>
  <si>
    <t>Municipalidad de Alajuela</t>
  </si>
  <si>
    <t>Municipalidad de San Ramón</t>
  </si>
  <si>
    <t>Municipalidad de Grecia</t>
  </si>
  <si>
    <t>Municipalidad de San Mateo</t>
  </si>
  <si>
    <t>Municipalidad de Atenas</t>
  </si>
  <si>
    <t>Municipalidad de Naranjo</t>
  </si>
  <si>
    <t>Municipalidad de Palmares</t>
  </si>
  <si>
    <t>Municipalidad de Poás</t>
  </si>
  <si>
    <t>Municipalidad de Orotina</t>
  </si>
  <si>
    <t>Municipalidad de San Carlos</t>
  </si>
  <si>
    <t>Municipalidad de Alfaro Ruíz</t>
  </si>
  <si>
    <t>Municipalidad de Valverde Vega</t>
  </si>
  <si>
    <t>Municipalidad de Upala</t>
  </si>
  <si>
    <t>Municipalidad de Los Chiles</t>
  </si>
  <si>
    <t>Municipalidad de Guatuso</t>
  </si>
  <si>
    <t>Concejo Municipal de Distrito de Peñas Blancas de San Ramón</t>
  </si>
  <si>
    <t>Municipalidad de Cartago</t>
  </si>
  <si>
    <t>Municipalidad de Paraíso</t>
  </si>
  <si>
    <t>Municipalidad de La Unión</t>
  </si>
  <si>
    <t>Municipalidad de Jiménez</t>
  </si>
  <si>
    <t>Municipalidad de Turrialba</t>
  </si>
  <si>
    <t>Municipalidad de Alvarado</t>
  </si>
  <si>
    <t>Municipalidad de Oreamuno</t>
  </si>
  <si>
    <t>Municipalidad de El Guarco</t>
  </si>
  <si>
    <t>Concejo Municipal de Distrito de Cervantes de Alvarado</t>
  </si>
  <si>
    <t xml:space="preserve">Concejo Municipal de Distrito de Tucurrique de Jiménez </t>
  </si>
  <si>
    <t>Municipalidades de Heredia</t>
  </si>
  <si>
    <t>Municipalidades de Barva</t>
  </si>
  <si>
    <t>Municipalidad de Santo Domingo</t>
  </si>
  <si>
    <t>Municipalidad de Santa Barbara</t>
  </si>
  <si>
    <t>Municipalidad de San Rafael</t>
  </si>
  <si>
    <t>Municipalidad de San Isidro</t>
  </si>
  <si>
    <t>Municipalidad de Belén</t>
  </si>
  <si>
    <t>Municipalidad de Flores</t>
  </si>
  <si>
    <t>Municipalidad de San Pablo</t>
  </si>
  <si>
    <t>Municipalidad de Sarapiquí</t>
  </si>
  <si>
    <t>Municipalidad de Liberia</t>
  </si>
  <si>
    <t>Municipalidad de Nicoya</t>
  </si>
  <si>
    <t>Municipalidad de Santa Cruz</t>
  </si>
  <si>
    <t>Municipalidad de Bagases</t>
  </si>
  <si>
    <t>Municipalidad de Carrillo</t>
  </si>
  <si>
    <t>Municipalidad de Cañas</t>
  </si>
  <si>
    <t>Municipalidad de Abangares</t>
  </si>
  <si>
    <t>Municipalidad de Tilarán</t>
  </si>
  <si>
    <t>Municipalidad de Nandayure</t>
  </si>
  <si>
    <t>Municipalidad de La Cruz</t>
  </si>
  <si>
    <t>Municipalidad de Hojancha</t>
  </si>
  <si>
    <t>Concejo Municipal de Distrito de Colorado de Abangares</t>
  </si>
  <si>
    <t>Municipalidad de Puntarenas</t>
  </si>
  <si>
    <t>Municipalidad de Esparza</t>
  </si>
  <si>
    <t>Municipalidad de Buenos Aires</t>
  </si>
  <si>
    <t>Municipalidad de Montes de Oro</t>
  </si>
  <si>
    <t>Municipalidad de Osa</t>
  </si>
  <si>
    <t>Municipalidad de Aguirre</t>
  </si>
  <si>
    <t>Municipalidad de Golfito</t>
  </si>
  <si>
    <t>Municipalidad de Coto Brus</t>
  </si>
  <si>
    <t>Municipalidad de Parrita</t>
  </si>
  <si>
    <t>Municipalidad de Corredores</t>
  </si>
  <si>
    <t>Municipalidad de Garabito</t>
  </si>
  <si>
    <t>Concejo Municipal de Distrito de Cóbano Puntarenas</t>
  </si>
  <si>
    <t>Concejo Municipal de Distrito de Monteverde de Puntarenas</t>
  </si>
  <si>
    <t>Concejo Municipal de Distrito de Lepanto de Puntarenas</t>
  </si>
  <si>
    <t>Concejo Municipal de Distrito de Paquera de Puntarenas</t>
  </si>
  <si>
    <t>Municipalidades de Limón</t>
  </si>
  <si>
    <t>Municipalidad de Pococí</t>
  </si>
  <si>
    <t>Municipalidad de Siquirres</t>
  </si>
  <si>
    <t>Municipalidad de Talamanca</t>
  </si>
  <si>
    <t>Municipalidad de Matina</t>
  </si>
  <si>
    <t>Municipalidad de Guácimo</t>
  </si>
  <si>
    <t>Comités Cantonales de Deportes y Recreación</t>
  </si>
  <si>
    <t>Convenio Cooperativo Intermunicipal</t>
  </si>
  <si>
    <t>Federación de Gobiernos Locales Costarricenses Fronterizos con Nicaragua</t>
  </si>
  <si>
    <t>Federación de Municipalidades de Cantones Productores de Banano (CAPROBA)</t>
  </si>
  <si>
    <t>Federación de Municipalidades de  la Provincia de Cartago   (FEMUCARTAGO)</t>
  </si>
  <si>
    <t>Federación de Municipalidades y Consejos Municipales de Distrito del Pacífico (FEMUPAC)</t>
  </si>
  <si>
    <t>Federación Metropolitana  de Municipalidades de San José   (FEMETRON)</t>
  </si>
  <si>
    <t xml:space="preserve">Federación de Consejos Municipales de Distrito </t>
  </si>
  <si>
    <t>Federación de Municipalidades de Heredia.</t>
  </si>
  <si>
    <t>Federación de Municipalidades de Guanacaste</t>
  </si>
  <si>
    <t xml:space="preserve">Federación Occidental de Municipalidades de Alajuela (FEDOMA) </t>
  </si>
  <si>
    <t>Federación de Municipalidades de los Santos (FEMUSAN)</t>
  </si>
  <si>
    <t>Federación de Municipalidades de la Región Sur de la Provincia de  Puntarenas  (FEDEMSUR)</t>
  </si>
  <si>
    <t>Junta Administrativa Cementerios de Goicoechea</t>
  </si>
  <si>
    <t xml:space="preserve">Junta Administradora del Cementerio General y Las Rosas de Alajuela </t>
  </si>
  <si>
    <t xml:space="preserve">Junta Administrativa de Cementerios de Limón </t>
  </si>
  <si>
    <t>Junta de Protección Social de Cartago</t>
  </si>
  <si>
    <t>Liga de Municipalidades de Alajuela Occidental</t>
  </si>
  <si>
    <t>Unión Nacional de Gobiernos Locales</t>
  </si>
  <si>
    <t>EMPRESAS PÚBLICAS NO FINANCIERAS NACIONALES</t>
  </si>
  <si>
    <t xml:space="preserve">Compañía Nacional de Fuerza y Luz S.A. (CNFL) </t>
  </si>
  <si>
    <t xml:space="preserve">Consejo Nacional de Producción (CNP)  </t>
  </si>
  <si>
    <t xml:space="preserve">Correos de Costa Rica S.A. (CORREOS) </t>
  </si>
  <si>
    <t>Hospital del Trauma S.A.</t>
  </si>
  <si>
    <t>Instituto Costarricense de Acueductos y Alcantarillados (ICAA)</t>
  </si>
  <si>
    <t>Instituto Costarricense de Electricidad (ICE)</t>
  </si>
  <si>
    <t>Instituto Costarricense de Ferrocarriles (INCOFER)</t>
  </si>
  <si>
    <t xml:space="preserve">Instituto Costarricense de Puertos del Pacífico (INCOP) </t>
  </si>
  <si>
    <t xml:space="preserve">Junta de Administración Portuaria y de Desarrollo de la Vertiente Atlántica  (JAPDEVA) </t>
  </si>
  <si>
    <t xml:space="preserve">Junta de Protección Social (JPS) </t>
  </si>
  <si>
    <t>Radiográfica Costarricense S.A. (RACSA)</t>
  </si>
  <si>
    <t>Refinadora Costarricense de Petróleo S.A. (RECOPE S.A)</t>
  </si>
  <si>
    <t>Sistema Nacional de Radio y Televisión Cultural  S.A (SINART  S.A)</t>
  </si>
  <si>
    <t>EMPRESAS PÚBLICAS NO FINANCIERAS MUNICIPALES</t>
  </si>
  <si>
    <t xml:space="preserve">Empresa de Servicios Públicos de Heredia S.A. (ESPH) </t>
  </si>
  <si>
    <t>Empresa Hidroeléctrica los Negros S.A. (EHLN S.A.)</t>
  </si>
  <si>
    <t xml:space="preserve">Junta Administrativa del Servicio Eléctrico de Cartago (JASEC) </t>
  </si>
  <si>
    <t>INSTITUCIONES PÚBLICAS FINANCIERAS</t>
  </si>
  <si>
    <t>Banco Crédito Agrícola de Cartago (BCAC)</t>
  </si>
  <si>
    <t>Banco de Costa Rica (BCR)</t>
  </si>
  <si>
    <t>Banco Internacional de Costa Rica  S.A (BICSA)</t>
  </si>
  <si>
    <t>Banco Nacional de Costa Rica (BNCR)</t>
  </si>
  <si>
    <t xml:space="preserve">Almacén Fiscal  Agrícola de Cartago S.A. </t>
  </si>
  <si>
    <t xml:space="preserve">Bancrédito Agencia de Seguros S.A. </t>
  </si>
  <si>
    <t>Banco Crédito Agrícola de Cartago-Puesto de Bolsa S.A.</t>
  </si>
  <si>
    <t>Banco Crédito Agrícola de Cartago-Sociedad Administradora Fondos Inversión S.A.</t>
  </si>
  <si>
    <t>BCR – Pensión Operadora de Planes de  Pensiones Complementarias S.A.</t>
  </si>
  <si>
    <t>BCR-Sociedad Administradora de Fondos de Inversión S.A.</t>
  </si>
  <si>
    <t>BCR Valores S.A.</t>
  </si>
  <si>
    <t>BN -Sociedad Administradora de Fondos de Inversión S.A.</t>
  </si>
  <si>
    <t>BN -Valores Puesto de Bolsa S.A.</t>
  </si>
  <si>
    <t>BN -Vital Operadora de Planes de Pensiones Complementarias S.A.</t>
  </si>
  <si>
    <t>BN - Procesadora de Medios de Pago S.A.</t>
  </si>
  <si>
    <t>BCR Corredora de Seguros, S.A</t>
  </si>
  <si>
    <t>Comisión Nacional de Préstamos para la Educación (CONAPE)</t>
  </si>
  <si>
    <t xml:space="preserve">Depósito Agrícola de Cartago S.A. </t>
  </si>
  <si>
    <t>Instituto Nacional de Fomento Cooperativo (INFOCOOP)</t>
  </si>
  <si>
    <t>Instituto Nacional de Seguros (INS)</t>
  </si>
  <si>
    <t>INS-Pensiones Operadora de Pensiones Complementarias S.A</t>
  </si>
  <si>
    <t>INS Valores Puesto de Bolsa S.A.</t>
  </si>
  <si>
    <t>Instituto Nacional de Vivienda y Urbanismo (INVU)</t>
  </si>
  <si>
    <t xml:space="preserve">INS Inversiones Sociedad Administradora de Fondos de Inversión S.A. (SAFI) </t>
  </si>
  <si>
    <t>INS Internacional S.A.</t>
  </si>
  <si>
    <t>INS Intermediario de Seguros S.A.</t>
  </si>
  <si>
    <t>INSurance Servicios S.A.</t>
  </si>
  <si>
    <t>INS – VIDA S.A.</t>
  </si>
  <si>
    <t xml:space="preserve">Operadora de Pensiones Complementarias y de Capitalización Laboral de la  C.C.S.S. S.A </t>
  </si>
  <si>
    <t xml:space="preserve">Operadora de Planes Pensiones Complementarias Banco  Popular Desarrollo Comunal S.A </t>
  </si>
  <si>
    <t>Popular Sociedad Agencia de Seguros S.A</t>
  </si>
  <si>
    <t>Popular Sociedad de Fondos de Inversión S.A</t>
  </si>
  <si>
    <t>Popular Valores Puesto de Bolsa S.A</t>
  </si>
  <si>
    <t>Banco Central de Costa Rica (BCCR)</t>
  </si>
  <si>
    <t>Consejo Nacional de Supervisión del Sistema Financiero (CONASSIF)</t>
  </si>
  <si>
    <t xml:space="preserve">Consejo Rector del Sistema de Banca para el Desarrollo </t>
  </si>
  <si>
    <t>Superintendencia General de Entidades Financieras (SUGEF)</t>
  </si>
  <si>
    <t>Superintendencia General de Valores (SUGEVAL)</t>
  </si>
  <si>
    <t>Superintendencia General de Pensiones (SUPEN)</t>
  </si>
  <si>
    <t>Superintendencia General de Seguros (SUGESE)</t>
  </si>
  <si>
    <t>ENTES PUBLICOS ESTATALES</t>
  </si>
  <si>
    <t xml:space="preserve">Academia Nacional de Ciencias   </t>
  </si>
  <si>
    <t xml:space="preserve">Casa Hogar de la Tía Tere </t>
  </si>
  <si>
    <t xml:space="preserve">Colegios Profesionales </t>
  </si>
  <si>
    <t>Consejo Nacional de cooperativas ( CONACOOP)</t>
  </si>
  <si>
    <t xml:space="preserve">Corporación  Arrocera Nacional  (CONARROZ)  </t>
  </si>
  <si>
    <t xml:space="preserve">Corporación Ganadera  </t>
  </si>
  <si>
    <t xml:space="preserve">Corporacion Hortícola Nacional ( CHN )  </t>
  </si>
  <si>
    <t xml:space="preserve">Ente Costarricense de Acreditación </t>
  </si>
  <si>
    <t xml:space="preserve">Fondo Nacional de Estabilización Cafetalera (FONECAFE)  </t>
  </si>
  <si>
    <t xml:space="preserve">Fondo de Apoyo para Educación Superior y Técnica del  Puntarenense  </t>
  </si>
  <si>
    <t xml:space="preserve">Instituto del Café de Costa Rica (ICAFE)   </t>
  </si>
  <si>
    <t xml:space="preserve">Junta de Pensiones y Jubilaciones del Magisterio Nacional  (JUPEMA)   </t>
  </si>
  <si>
    <t xml:space="preserve">Liga Agrícola Industrial de la Caña (LAICA)  </t>
  </si>
  <si>
    <t xml:space="preserve">Oficina Nacional Forestal  (ONAFO)  </t>
  </si>
  <si>
    <t xml:space="preserve">Promotora de Comercio Exterior (PROCOMER)  </t>
  </si>
  <si>
    <t xml:space="preserve">Corporación Bananera Nacional S.A  (CORBANA) </t>
  </si>
  <si>
    <t xml:space="preserve">Editorial Costa Rica (ECR)  </t>
  </si>
  <si>
    <t xml:space="preserve">Banco Popular y de Desarrollo Comunal (BPDC)  </t>
  </si>
  <si>
    <t xml:space="preserve">Banco Hipotecario de la Vivienda (BANHVI)  </t>
  </si>
  <si>
    <t>11000</t>
  </si>
  <si>
    <t>11201</t>
  </si>
  <si>
    <t>11202</t>
  </si>
  <si>
    <t>11203</t>
  </si>
  <si>
    <t>11204</t>
  </si>
  <si>
    <t>11205</t>
  </si>
  <si>
    <t>11206</t>
  </si>
  <si>
    <t>11207</t>
  </si>
  <si>
    <t>11208</t>
  </si>
  <si>
    <t>11209</t>
  </si>
  <si>
    <t>11210</t>
  </si>
  <si>
    <t>11211</t>
  </si>
  <si>
    <t>11212</t>
  </si>
  <si>
    <t>11213</t>
  </si>
  <si>
    <t>11214</t>
  </si>
  <si>
    <t>11215</t>
  </si>
  <si>
    <t>11216</t>
  </si>
  <si>
    <t>11217</t>
  </si>
  <si>
    <t>11218</t>
  </si>
  <si>
    <t>11219</t>
  </si>
  <si>
    <t>11230</t>
  </si>
  <si>
    <t>11231</t>
  </si>
  <si>
    <t>11232</t>
  </si>
  <si>
    <t>13000</t>
  </si>
  <si>
    <t>13101</t>
  </si>
  <si>
    <t>13102</t>
  </si>
  <si>
    <t>13103</t>
  </si>
  <si>
    <t>13301</t>
  </si>
  <si>
    <t>13401</t>
  </si>
  <si>
    <t>12000</t>
  </si>
  <si>
    <t>12510</t>
  </si>
  <si>
    <t>12530</t>
  </si>
  <si>
    <t>12531</t>
  </si>
  <si>
    <t>12534</t>
  </si>
  <si>
    <t>12550</t>
  </si>
  <si>
    <t>12551</t>
  </si>
  <si>
    <t>12552</t>
  </si>
  <si>
    <t>12553</t>
  </si>
  <si>
    <t>12554</t>
  </si>
  <si>
    <t>12555</t>
  </si>
  <si>
    <t>12556</t>
  </si>
  <si>
    <t>12580</t>
  </si>
  <si>
    <t>12582</t>
  </si>
  <si>
    <t>12583</t>
  </si>
  <si>
    <t>12584</t>
  </si>
  <si>
    <t>12586</t>
  </si>
  <si>
    <t>12587</t>
  </si>
  <si>
    <t>12588</t>
  </si>
  <si>
    <t>12589</t>
  </si>
  <si>
    <t>12590</t>
  </si>
  <si>
    <t>12591</t>
  </si>
  <si>
    <t>12630</t>
  </si>
  <si>
    <t>12631</t>
  </si>
  <si>
    <t>12634</t>
  </si>
  <si>
    <t>12637</t>
  </si>
  <si>
    <t>12651</t>
  </si>
  <si>
    <t>12700</t>
  </si>
  <si>
    <t>12701</t>
  </si>
  <si>
    <t>12703</t>
  </si>
  <si>
    <t>12704</t>
  </si>
  <si>
    <t>12706</t>
  </si>
  <si>
    <t>12712</t>
  </si>
  <si>
    <t>12720</t>
  </si>
  <si>
    <t>12750</t>
  </si>
  <si>
    <t>12751</t>
  </si>
  <si>
    <t>12752</t>
  </si>
  <si>
    <t>12753</t>
  </si>
  <si>
    <t>12755</t>
  </si>
  <si>
    <t>12780</t>
  </si>
  <si>
    <t>12781</t>
  </si>
  <si>
    <t>12782</t>
  </si>
  <si>
    <t>12783</t>
  </si>
  <si>
    <t>12784</t>
  </si>
  <si>
    <t>12795</t>
  </si>
  <si>
    <t>12800</t>
  </si>
  <si>
    <t>12801</t>
  </si>
  <si>
    <t>12802</t>
  </si>
  <si>
    <t>12804</t>
  </si>
  <si>
    <t>12805</t>
  </si>
  <si>
    <t>12820</t>
  </si>
  <si>
    <t>12850</t>
  </si>
  <si>
    <t>12851</t>
  </si>
  <si>
    <t>12852</t>
  </si>
  <si>
    <t>12853</t>
  </si>
  <si>
    <t>12901</t>
  </si>
  <si>
    <t>12902</t>
  </si>
  <si>
    <t>12908</t>
  </si>
  <si>
    <t>12920</t>
  </si>
  <si>
    <t>12921</t>
  </si>
  <si>
    <t>12940</t>
  </si>
  <si>
    <t>12942</t>
  </si>
  <si>
    <t>12946</t>
  </si>
  <si>
    <t>12961</t>
  </si>
  <si>
    <t>14000</t>
  </si>
  <si>
    <t>14110</t>
  </si>
  <si>
    <t>14115</t>
  </si>
  <si>
    <t>14120</t>
  </si>
  <si>
    <t>14132</t>
  </si>
  <si>
    <t>14133</t>
  </si>
  <si>
    <t>14150</t>
  </si>
  <si>
    <t>14161</t>
  </si>
  <si>
    <t>14162</t>
  </si>
  <si>
    <t>14163</t>
  </si>
  <si>
    <t>14210</t>
  </si>
  <si>
    <t>14222</t>
  </si>
  <si>
    <t>14223</t>
  </si>
  <si>
    <t>14224</t>
  </si>
  <si>
    <t>14225</t>
  </si>
  <si>
    <t>14226</t>
  </si>
  <si>
    <t>14227</t>
  </si>
  <si>
    <t>14228</t>
  </si>
  <si>
    <t>14229</t>
  </si>
  <si>
    <t>14230</t>
  </si>
  <si>
    <t>14231</t>
  </si>
  <si>
    <t>14250</t>
  </si>
  <si>
    <t>14251</t>
  </si>
  <si>
    <t>14252</t>
  </si>
  <si>
    <t>14253</t>
  </si>
  <si>
    <t>14267</t>
  </si>
  <si>
    <t>14290</t>
  </si>
  <si>
    <t>14300</t>
  </si>
  <si>
    <t>14320</t>
  </si>
  <si>
    <t>14326</t>
  </si>
  <si>
    <t>14340</t>
  </si>
  <si>
    <t>14341</t>
  </si>
  <si>
    <t>14342</t>
  </si>
  <si>
    <t>14353</t>
  </si>
  <si>
    <t>15000</t>
  </si>
  <si>
    <t>15101</t>
  </si>
  <si>
    <t>15102</t>
  </si>
  <si>
    <t>15103</t>
  </si>
  <si>
    <t>15104</t>
  </si>
  <si>
    <t>15105</t>
  </si>
  <si>
    <t>15106</t>
  </si>
  <si>
    <t>15107</t>
  </si>
  <si>
    <t>15108</t>
  </si>
  <si>
    <t>15109</t>
  </si>
  <si>
    <t>15110</t>
  </si>
  <si>
    <t>15111</t>
  </si>
  <si>
    <t>15112</t>
  </si>
  <si>
    <t>15113</t>
  </si>
  <si>
    <t>15114</t>
  </si>
  <si>
    <t>15115</t>
  </si>
  <si>
    <t>15116</t>
  </si>
  <si>
    <t>15117</t>
  </si>
  <si>
    <t>15118</t>
  </si>
  <si>
    <t>15119</t>
  </si>
  <si>
    <t>15120</t>
  </si>
  <si>
    <t>15201</t>
  </si>
  <si>
    <t>15202</t>
  </si>
  <si>
    <t>15203</t>
  </si>
  <si>
    <t>15204</t>
  </si>
  <si>
    <t>15205</t>
  </si>
  <si>
    <t>15206</t>
  </si>
  <si>
    <t>15207</t>
  </si>
  <si>
    <t>15208</t>
  </si>
  <si>
    <t>15209</t>
  </si>
  <si>
    <t>15210</t>
  </si>
  <si>
    <t>15211</t>
  </si>
  <si>
    <t>15212</t>
  </si>
  <si>
    <t>15213</t>
  </si>
  <si>
    <t>15214</t>
  </si>
  <si>
    <t>15215</t>
  </si>
  <si>
    <t>15220</t>
  </si>
  <si>
    <t>15301</t>
  </si>
  <si>
    <t>15302</t>
  </si>
  <si>
    <t>15303</t>
  </si>
  <si>
    <t>15304</t>
  </si>
  <si>
    <t>15305</t>
  </si>
  <si>
    <t>15306</t>
  </si>
  <si>
    <t>15307</t>
  </si>
  <si>
    <t>15308</t>
  </si>
  <si>
    <t>15320</t>
  </si>
  <si>
    <t>15321</t>
  </si>
  <si>
    <t>15401</t>
  </si>
  <si>
    <t>15402</t>
  </si>
  <si>
    <t>15403</t>
  </si>
  <si>
    <t>15404</t>
  </si>
  <si>
    <t>15405</t>
  </si>
  <si>
    <t>15406</t>
  </si>
  <si>
    <t>15407</t>
  </si>
  <si>
    <t>15408</t>
  </si>
  <si>
    <t>15409</t>
  </si>
  <si>
    <t>15410</t>
  </si>
  <si>
    <t>15501</t>
  </si>
  <si>
    <t>15502</t>
  </si>
  <si>
    <t>15503</t>
  </si>
  <si>
    <t>15504</t>
  </si>
  <si>
    <t>15505</t>
  </si>
  <si>
    <t>15506</t>
  </si>
  <si>
    <t>15507</t>
  </si>
  <si>
    <t>15508</t>
  </si>
  <si>
    <t>15509</t>
  </si>
  <si>
    <t>15510</t>
  </si>
  <si>
    <t>15511</t>
  </si>
  <si>
    <t>15520</t>
  </si>
  <si>
    <t>15601</t>
  </si>
  <si>
    <t>15602</t>
  </si>
  <si>
    <t>15603</t>
  </si>
  <si>
    <t>15604</t>
  </si>
  <si>
    <t>15605</t>
  </si>
  <si>
    <t>15606</t>
  </si>
  <si>
    <t>15607</t>
  </si>
  <si>
    <t>15608</t>
  </si>
  <si>
    <t>15609</t>
  </si>
  <si>
    <t>15610</t>
  </si>
  <si>
    <t>15611</t>
  </si>
  <si>
    <t>15620</t>
  </si>
  <si>
    <t>15621</t>
  </si>
  <si>
    <t>15622</t>
  </si>
  <si>
    <t>15623</t>
  </si>
  <si>
    <t>15701</t>
  </si>
  <si>
    <t>15702</t>
  </si>
  <si>
    <t>15703</t>
  </si>
  <si>
    <t>15704</t>
  </si>
  <si>
    <t>15705</t>
  </si>
  <si>
    <t>15706</t>
  </si>
  <si>
    <t>15910</t>
  </si>
  <si>
    <t>15911</t>
  </si>
  <si>
    <t>15920</t>
  </si>
  <si>
    <t>15921</t>
  </si>
  <si>
    <t>15922</t>
  </si>
  <si>
    <t>15924</t>
  </si>
  <si>
    <t>15925</t>
  </si>
  <si>
    <t>15926</t>
  </si>
  <si>
    <t>15927</t>
  </si>
  <si>
    <t>15928</t>
  </si>
  <si>
    <t>15929</t>
  </si>
  <si>
    <t>15930</t>
  </si>
  <si>
    <t>15933</t>
  </si>
  <si>
    <t>15940</t>
  </si>
  <si>
    <t>15941</t>
  </si>
  <si>
    <t>15944</t>
  </si>
  <si>
    <t>15946</t>
  </si>
  <si>
    <t>15950</t>
  </si>
  <si>
    <t>15980</t>
  </si>
  <si>
    <t>16000</t>
  </si>
  <si>
    <t>16100</t>
  </si>
  <si>
    <t>16101</t>
  </si>
  <si>
    <t>16120</t>
  </si>
  <si>
    <t>16145</t>
  </si>
  <si>
    <t>16150</t>
  </si>
  <si>
    <t>16151</t>
  </si>
  <si>
    <t>16152</t>
  </si>
  <si>
    <t>16153</t>
  </si>
  <si>
    <t>16170</t>
  </si>
  <si>
    <t>16171</t>
  </si>
  <si>
    <t>16180</t>
  </si>
  <si>
    <t>16181</t>
  </si>
  <si>
    <t>16190</t>
  </si>
  <si>
    <t>17000</t>
  </si>
  <si>
    <t>17100</t>
  </si>
  <si>
    <t>17150</t>
  </si>
  <si>
    <t>17200</t>
  </si>
  <si>
    <t>20000</t>
  </si>
  <si>
    <t>21100</t>
  </si>
  <si>
    <t>21101</t>
  </si>
  <si>
    <t>21102</t>
  </si>
  <si>
    <t>21103</t>
  </si>
  <si>
    <t>22120</t>
  </si>
  <si>
    <t>22121</t>
  </si>
  <si>
    <t>22122</t>
  </si>
  <si>
    <t>22123</t>
  </si>
  <si>
    <t>22124</t>
  </si>
  <si>
    <t>22125</t>
  </si>
  <si>
    <t>22126</t>
  </si>
  <si>
    <t>22128</t>
  </si>
  <si>
    <t>22129</t>
  </si>
  <si>
    <t>22130</t>
  </si>
  <si>
    <t>22131</t>
  </si>
  <si>
    <t>22136</t>
  </si>
  <si>
    <t>22150</t>
  </si>
  <si>
    <t>22160</t>
  </si>
  <si>
    <t>22190</t>
  </si>
  <si>
    <t>22191</t>
  </si>
  <si>
    <t>22192</t>
  </si>
  <si>
    <t>22193</t>
  </si>
  <si>
    <t>22194</t>
  </si>
  <si>
    <t>22195</t>
  </si>
  <si>
    <t>22198</t>
  </si>
  <si>
    <t>22205</t>
  </si>
  <si>
    <t>22208</t>
  </si>
  <si>
    <t>22211</t>
  </si>
  <si>
    <t>22230</t>
  </si>
  <si>
    <t>22231</t>
  </si>
  <si>
    <t>22239</t>
  </si>
  <si>
    <t>22240</t>
  </si>
  <si>
    <t>22241</t>
  </si>
  <si>
    <t>23100</t>
  </si>
  <si>
    <t>23150</t>
  </si>
  <si>
    <t>23155</t>
  </si>
  <si>
    <t>23200</t>
  </si>
  <si>
    <t>23201</t>
  </si>
  <si>
    <t>23202</t>
  </si>
  <si>
    <t>23208</t>
  </si>
  <si>
    <t>31000</t>
  </si>
  <si>
    <t>31100</t>
  </si>
  <si>
    <t>31121</t>
  </si>
  <si>
    <t>32130</t>
  </si>
  <si>
    <t>31160</t>
  </si>
  <si>
    <t>31180</t>
  </si>
  <si>
    <t>31182</t>
  </si>
  <si>
    <t>31185</t>
  </si>
  <si>
    <t>31200</t>
  </si>
  <si>
    <t>31211</t>
  </si>
  <si>
    <t>31215</t>
  </si>
  <si>
    <t>31220</t>
  </si>
  <si>
    <t>31254</t>
  </si>
  <si>
    <t>31260</t>
  </si>
  <si>
    <t>31270</t>
  </si>
  <si>
    <t>31301</t>
  </si>
  <si>
    <t>31114</t>
  </si>
  <si>
    <t>31130</t>
  </si>
  <si>
    <t>31104</t>
  </si>
  <si>
    <t>31127</t>
  </si>
  <si>
    <t>Elaborado por:</t>
  </si>
  <si>
    <t>Revisado por:</t>
  </si>
  <si>
    <t>Aprobado por:</t>
  </si>
  <si>
    <t>- En miles de colones -</t>
  </si>
  <si>
    <t>En miles de colones</t>
  </si>
  <si>
    <t>…..</t>
  </si>
  <si>
    <t>Consejo Nacional de Clubes 4-S</t>
  </si>
  <si>
    <t>Consejo Nacional de Investigacion en Salud ( CONIS )</t>
  </si>
  <si>
    <t>12570</t>
  </si>
  <si>
    <t>12575</t>
  </si>
  <si>
    <t>Cuenta</t>
  </si>
  <si>
    <t>Saldos al cierre</t>
  </si>
  <si>
    <t>Valores residuales al cierre</t>
  </si>
  <si>
    <t>Totales al inicio</t>
  </si>
  <si>
    <t>Totales Movimientos del Ejercicio</t>
  </si>
  <si>
    <t>1.2.5.01</t>
  </si>
  <si>
    <t>1.2.5.01.01.</t>
  </si>
  <si>
    <t>1.2.5.01.02.</t>
  </si>
  <si>
    <t>1.2.5.01.03.</t>
  </si>
  <si>
    <t>1.2.5.01.04.</t>
  </si>
  <si>
    <t>1.2.5.01.05.</t>
  </si>
  <si>
    <t>1.2.5.01.06.</t>
  </si>
  <si>
    <t>1.2.5.01.07.</t>
  </si>
  <si>
    <t>1.2.5.01.08.</t>
  </si>
  <si>
    <t>1.2.5.01.09.</t>
  </si>
  <si>
    <t>1.2.5.01.10.</t>
  </si>
  <si>
    <t>1.2.5.01.11.</t>
  </si>
  <si>
    <t>1.2.5.01.99.</t>
  </si>
  <si>
    <t>1.2.5.02</t>
  </si>
  <si>
    <t>1.2.5.02.01.</t>
  </si>
  <si>
    <t>1.2.5.02.02.</t>
  </si>
  <si>
    <t>1.2.5.03</t>
  </si>
  <si>
    <t>Activos Biológicos no concesionados</t>
  </si>
  <si>
    <t>1.2.5.03.01.</t>
  </si>
  <si>
    <t>1.2.5.03.02.</t>
  </si>
  <si>
    <t>1.2.5.04</t>
  </si>
  <si>
    <t>1.2.5.04.01.</t>
  </si>
  <si>
    <t xml:space="preserve"> Vias de comunicación terrestre</t>
  </si>
  <si>
    <t>1.2.5.04.02.</t>
  </si>
  <si>
    <t>1.2.5.04.03.</t>
  </si>
  <si>
    <t>1.2.5.04.99.</t>
  </si>
  <si>
    <t>1.2.5.05</t>
  </si>
  <si>
    <t>1.2.5.05.01.</t>
  </si>
  <si>
    <t>1.2.5.05.02.</t>
  </si>
  <si>
    <t>1.2.5.05.99.</t>
  </si>
  <si>
    <t>1.2.5.06</t>
  </si>
  <si>
    <t>1.2.5.06.01.</t>
  </si>
  <si>
    <t>1.2.5.06.02.</t>
  </si>
  <si>
    <t>1.2.5.07</t>
  </si>
  <si>
    <t>1.2.5.07.01.</t>
  </si>
  <si>
    <t>1.2.5.07.02.</t>
  </si>
  <si>
    <t>1.2.5.08</t>
  </si>
  <si>
    <t>1.2.5.08.01.</t>
  </si>
  <si>
    <t>1.2.5.08.02.</t>
  </si>
  <si>
    <t>1.2.5.08.03.</t>
  </si>
  <si>
    <t>1.2.5.08.99.</t>
  </si>
  <si>
    <t>1.2.5.99</t>
  </si>
  <si>
    <t>1.2.5.99.01</t>
  </si>
  <si>
    <t>1.2.5.99.04</t>
  </si>
  <si>
    <t>1.2.5.99.05</t>
  </si>
  <si>
    <t>1.2.5.99.08</t>
  </si>
  <si>
    <t>1.2.6</t>
  </si>
  <si>
    <t>1.2.6.01</t>
  </si>
  <si>
    <t>1.2.6.01.01</t>
  </si>
  <si>
    <t>1.2.6.01.02</t>
  </si>
  <si>
    <t>1.2.6.01.03</t>
  </si>
  <si>
    <t>1.2.6.01.04</t>
  </si>
  <si>
    <t>1.2.6.01.05</t>
  </si>
  <si>
    <t>1.2.6.01.06</t>
  </si>
  <si>
    <t>1.2.6.01.07</t>
  </si>
  <si>
    <t>1.2.6.01.08</t>
  </si>
  <si>
    <t>1.2.6.01.09</t>
  </si>
  <si>
    <t>1.2.6.01.10</t>
  </si>
  <si>
    <t>1.2.6.01.11</t>
  </si>
  <si>
    <t>1.2.6.01.99</t>
  </si>
  <si>
    <t>1.2.6.03</t>
  </si>
  <si>
    <t>1.2.6.03.01</t>
  </si>
  <si>
    <t>1.2.6.03.02</t>
  </si>
  <si>
    <t>1.2.6.04</t>
  </si>
  <si>
    <t>1.2.6.04.01</t>
  </si>
  <si>
    <t>1.2.6.04.02</t>
  </si>
  <si>
    <t>1.2.6.04.03</t>
  </si>
  <si>
    <t>1.2.6.04.99</t>
  </si>
  <si>
    <t>1.2.6.06</t>
  </si>
  <si>
    <t>1.2.6.06.01</t>
  </si>
  <si>
    <t>1.2.6.06.02</t>
  </si>
  <si>
    <t>1.2.6.08</t>
  </si>
  <si>
    <t>1.2.6.08.01</t>
  </si>
  <si>
    <t>1.2.6.08.02</t>
  </si>
  <si>
    <t>1.2.6.08.03</t>
  </si>
  <si>
    <t>1.2.6.08.99</t>
  </si>
  <si>
    <t>1.2.6.99</t>
  </si>
  <si>
    <t>1.2.6.99.01</t>
  </si>
  <si>
    <t>1.2.6.99.04</t>
  </si>
  <si>
    <t>1.2.6.99.08</t>
  </si>
  <si>
    <t>TOTALES</t>
  </si>
  <si>
    <t xml:space="preserve">Elaborado por:                                                               </t>
  </si>
  <si>
    <t>Descripción</t>
  </si>
  <si>
    <r>
      <t>Ingresos por interes</t>
    </r>
    <r>
      <rPr>
        <sz val="11"/>
        <color indexed="8"/>
        <rFont val="Arial Narrow"/>
        <family val="2"/>
      </rPr>
      <t>es</t>
    </r>
  </si>
  <si>
    <t>Eliminaciones</t>
  </si>
  <si>
    <t>Consolidación</t>
  </si>
  <si>
    <t>EJERCICIOS:</t>
  </si>
  <si>
    <t>Resultado neto (Ahorro/deshorro de las actividadesde de operación)</t>
  </si>
  <si>
    <t>Recibido por:</t>
  </si>
  <si>
    <r>
      <t>Resultado Neto</t>
    </r>
    <r>
      <rPr>
        <vertAlign val="subscript"/>
        <sz val="11"/>
        <color theme="0"/>
        <rFont val="Arial Narrow"/>
        <family val="2"/>
      </rPr>
      <t xml:space="preserve"> </t>
    </r>
    <r>
      <rPr>
        <sz val="11"/>
        <color theme="0"/>
        <rFont val="Arial Narrow"/>
        <family val="2"/>
      </rPr>
      <t>(ahorro/desahorro)</t>
    </r>
  </si>
  <si>
    <t>Total Ingreso del segmento</t>
  </si>
  <si>
    <t>Total Gasto por segmento</t>
  </si>
  <si>
    <t>12914</t>
  </si>
  <si>
    <t xml:space="preserve">Sistema Nacional de Educacion Musical (SINEM) </t>
  </si>
  <si>
    <t>Estados de Ejecución Presupuestaria</t>
  </si>
  <si>
    <t>AL 31 DE DICIEMBRE 2019</t>
  </si>
  <si>
    <t>- En Colones -</t>
  </si>
  <si>
    <t>Conceptos</t>
  </si>
  <si>
    <t>Presupuestos</t>
  </si>
  <si>
    <t>Diferencias Brutas (*)</t>
  </si>
  <si>
    <t>Diferencias Porcentuales</t>
  </si>
  <si>
    <t>Inicial (I)</t>
  </si>
  <si>
    <t>Final (II)</t>
  </si>
  <si>
    <t>Ejecutado</t>
  </si>
  <si>
    <t>II -I</t>
  </si>
  <si>
    <t>III - II</t>
  </si>
  <si>
    <t xml:space="preserve">II -I </t>
  </si>
  <si>
    <t xml:space="preserve">III - II </t>
  </si>
  <si>
    <t>Comprometido no devengado al cierre</t>
  </si>
  <si>
    <t xml:space="preserve">Devengado III </t>
  </si>
  <si>
    <t>%</t>
  </si>
  <si>
    <t xml:space="preserve">INGRESOS </t>
  </si>
  <si>
    <t>Ingresos sobre cuentas corrientes</t>
  </si>
  <si>
    <t>Reintegros en Efectivo</t>
  </si>
  <si>
    <t>Ejecución de contratos de seguros</t>
  </si>
  <si>
    <t>Superavit Anteriores</t>
  </si>
  <si>
    <t>Total de Ingresos (I)</t>
  </si>
  <si>
    <t xml:space="preserve">      Remuneraciones</t>
  </si>
  <si>
    <t xml:space="preserve">      Servicios</t>
  </si>
  <si>
    <t xml:space="preserve">      Materiales y suministros</t>
  </si>
  <si>
    <t xml:space="preserve">      Bienes intangibles</t>
  </si>
  <si>
    <t xml:space="preserve">      Transferencias corrientes</t>
  </si>
  <si>
    <t>Cuentas especiales</t>
  </si>
  <si>
    <t>Gastos Activables</t>
  </si>
  <si>
    <t>Inversiones Financieras</t>
  </si>
  <si>
    <t>Activo Fijo</t>
  </si>
  <si>
    <t>Objetos de Valor</t>
  </si>
  <si>
    <t>Bienes Intangibles</t>
  </si>
  <si>
    <t xml:space="preserve">Aportes de Capital </t>
  </si>
  <si>
    <t xml:space="preserve">Total de Gastos (II) </t>
  </si>
  <si>
    <r>
      <t xml:space="preserve">RESULTADO ECONOMICO PRESUPUESTARIO  (I - II) </t>
    </r>
    <r>
      <rPr>
        <b/>
        <sz val="9"/>
        <rFont val="Arial"/>
        <family val="2"/>
      </rPr>
      <t>(superávit/déficit)</t>
    </r>
  </si>
  <si>
    <t>(*) Diferencias Brutas - Notas explicativas por cada diferencia</t>
  </si>
  <si>
    <t>Elaborado por:                                              Revisado por:                                              Aprobado por:</t>
  </si>
  <si>
    <t>Presupuesto</t>
  </si>
  <si>
    <t>Devengo</t>
  </si>
  <si>
    <t>Diferencia</t>
  </si>
  <si>
    <t>Justificación</t>
  </si>
  <si>
    <t>Corresponde a multas por incumplimiento en contrataciones (Proveedores Marcelo Madrigal Molina y Productive Business Solutions CR)</t>
  </si>
  <si>
    <t xml:space="preserve"> G. CENTRAL LEY 5048</t>
  </si>
  <si>
    <t>G. CENTRAL LEY 7169</t>
  </si>
  <si>
    <t>G. CENTRAL LEY 8262</t>
  </si>
  <si>
    <t>G. CENTRAL LEY 9028</t>
  </si>
  <si>
    <t>De instituciones Públicas  Financieras</t>
  </si>
  <si>
    <t>El registro en contabilidad se da por el registro de la CxC del 3% Propyme (registro base devengo) y el registro en presupuesto es al recibir el pago de esta CxC correspondiente al período anterior (registro base caja)</t>
  </si>
  <si>
    <t>Diferencias de cambio positivas por activos financieros</t>
  </si>
  <si>
    <t>No tiene afectación en presupuestos</t>
  </si>
  <si>
    <t>Resultados positivos de inversiones patrimoniales en Fideicomisos (25-02) Ley 8262</t>
  </si>
  <si>
    <t>Resultados positivos de inversiones patrimoniales en Fideicomisos (04-99) Ley 7099</t>
  </si>
  <si>
    <t>Otros resultados positivos</t>
  </si>
  <si>
    <t>Superavit libre</t>
  </si>
  <si>
    <t>No tiene afectación en contabilidad</t>
  </si>
  <si>
    <t>Superavit específico</t>
  </si>
  <si>
    <t>Total</t>
  </si>
  <si>
    <t>REMUNERACIONES</t>
  </si>
  <si>
    <t>SUELDOS PARA CARGOS FIJOS</t>
  </si>
  <si>
    <t>Ver comentario en la linea 141</t>
  </si>
  <si>
    <t xml:space="preserve"> SUPLENCIAS</t>
  </si>
  <si>
    <t xml:space="preserve"> TIEMPO EXTRAORDINARIO</t>
  </si>
  <si>
    <t xml:space="preserve"> DIETAS</t>
  </si>
  <si>
    <t xml:space="preserve"> RETRIBUCION AÑOS SERVIDOS (ANUAL.)</t>
  </si>
  <si>
    <t>RESTRICCION EJERCICIO LIB. D/PROF.</t>
  </si>
  <si>
    <t>La diferencia corresponde al pago de las prestaciones legales del ex funcionario Pedro Bastos ya el pago de las vacaciones corresponden a periodos anteriores</t>
  </si>
  <si>
    <t xml:space="preserve"> DECIMO TERCER MES (AGUINALDO)</t>
  </si>
  <si>
    <t>A nivel contable se registra la provisión de aguinaldos (base devengo) y a nivel presupuestario se afecta en el momento del pago (base caja). Dadas las 2 metodologias de registro siempre existirán diferencias. Otra razón por la que se dan las diferencias es el periodo de registro del pago del aquinaldo que va de diciembre a noviembre y en contabilidad de enero a diciembre</t>
  </si>
  <si>
    <t xml:space="preserve"> SALARIO ESCOLAR</t>
  </si>
  <si>
    <t>El monto reflejado a nivel contable es la provisión (base devengo) cuyo pago se realizará en enero 2020. El monto registrado en presupuesto corresponde al pago realizado  a los funcionarios en el mes de enero 2019 y el pago a ex funcionarios en el año 2019</t>
  </si>
  <si>
    <t xml:space="preserve"> OTROS INCENTIVOS SALARIALES</t>
  </si>
  <si>
    <t xml:space="preserve"> CUOTA C.C.S.S. y  CUOTA ASIGNACIONES FAMILIARES</t>
  </si>
  <si>
    <t xml:space="preserve">La diferencia se origina ya que en presupuesto en el mes de enero 2019 se ejecuta la cuota de diciembre 2018; de ahí el desfase de un mes en el transcurso del año; por tanto la diferencia se genera entre lo registrado en contablidad en diciembre 2019 y la ejecución en presupuesto en enero 2019 </t>
  </si>
  <si>
    <t xml:space="preserve"> CUOTA I.N.A</t>
  </si>
  <si>
    <t xml:space="preserve"> CUOTA BANCO POPULAR</t>
  </si>
  <si>
    <t xml:space="preserve">   Contribución patronal al Seguro de Pensiones de la Caja Cost</t>
  </si>
  <si>
    <t xml:space="preserve"> AP.PAT. C.C.S.S. R.P.C. LEY 7983</t>
  </si>
  <si>
    <t>A.P.PAT. C.C.S.S. F.C.L. LEY 7983</t>
  </si>
  <si>
    <t>CONTRIBUCION PATRONAL A FONDOS ADMINISTRADOS POR ENTES PRIVADOS</t>
  </si>
  <si>
    <t xml:space="preserve"> SERVICIOS</t>
  </si>
  <si>
    <t xml:space="preserve"> OTROS ALQUILERES</t>
  </si>
  <si>
    <t xml:space="preserve"> SERVICIO DE AGUA Y ALCANTARILLADO</t>
  </si>
  <si>
    <t>Corresponde a recargo en pago del agua por atraso en el pago, contablemente se registró en la cuenta 5-9-9-99-03 multas y sanciones administrativas</t>
  </si>
  <si>
    <t xml:space="preserve"> SERVICIO DE ENERGIA ELECTRICA</t>
  </si>
  <si>
    <t xml:space="preserve"> SERVICIO DE CORREO</t>
  </si>
  <si>
    <t xml:space="preserve"> SERVICIO DE TELECOMUNICACIONES</t>
  </si>
  <si>
    <t xml:space="preserve"> OTROS SERVICIOS BASICOS</t>
  </si>
  <si>
    <t xml:space="preserve"> INFORMACION</t>
  </si>
  <si>
    <t xml:space="preserve"> PUBLICIDAD Y PROPAGANDA</t>
  </si>
  <si>
    <t xml:space="preserve"> IMPRESION, ENCUADERNACION Y OTROS</t>
  </si>
  <si>
    <t>COMISIONES Y GASTOS P/SERV. F. Y C.</t>
  </si>
  <si>
    <t>SERVICIOS TECNOLOGIAS DE INFORMACION</t>
  </si>
  <si>
    <t xml:space="preserve"> SERVICIOS EN CIENCIAS DE LA SALUD</t>
  </si>
  <si>
    <t xml:space="preserve"> SERVICIOS E/CIENCIAS ECO. Y SOC.</t>
  </si>
  <si>
    <t xml:space="preserve"> SERVICIOS GENERALES</t>
  </si>
  <si>
    <t>La diferencia corresponde a un reajuste de precios del año 2018 por los  servicio brindados y a nivel contable afectó la cuenta "Resultados de periodos anteriores".</t>
  </si>
  <si>
    <t xml:space="preserve"> OTROS SERVICIOS DE GESTION Y APOYO</t>
  </si>
  <si>
    <t>Corresponde a multa por incumplimiento registrada contablemente en la cuenta de ingresos 4-3-1-99 Otras multas</t>
  </si>
  <si>
    <t xml:space="preserve"> TRANSPORTE DENTRO DEL PAIS</t>
  </si>
  <si>
    <t xml:space="preserve"> VIATICOS DENTRO DEL PAIS</t>
  </si>
  <si>
    <t>TRANSPORTE EN EL EXTERIOR</t>
  </si>
  <si>
    <t>VIATICOS EN EL EXTERIOR</t>
  </si>
  <si>
    <t xml:space="preserve"> SEGUROS</t>
  </si>
  <si>
    <t>Corresponde a la anulación de una solcitud de pago del 17/11/2014 que a febrero 2019 se mantenia pendiente; se consultó al INS si en sus registros tenian pendiente dicho monto y en correo del 11/02/2019 confirman que dicho monto está cancelado. La anulación de dicho registro debió afectarse a la cuenta de ajustes a periodos anteriores.</t>
  </si>
  <si>
    <t xml:space="preserve"> ACTIVIDADES DE CAPACITACION</t>
  </si>
  <si>
    <t>MANT. EDIFICIOS, LOCALES Y TERENOS</t>
  </si>
  <si>
    <t>MANT. REPARAC. MAQUINARIA Y EQ PRODUCCION</t>
  </si>
  <si>
    <t>MANT. REPARAC DE EQUPOS DE TRANSP</t>
  </si>
  <si>
    <t xml:space="preserve"> MANT. REPAR. EQUIPO COMUNICACION</t>
  </si>
  <si>
    <t xml:space="preserve"> MANT. REPAR. EQ. Y MOB OFICINA</t>
  </si>
  <si>
    <t xml:space="preserve"> MANT. REPAR. EQ. COMP. SIST. INF.</t>
  </si>
  <si>
    <t xml:space="preserve"> Otros impuestos</t>
  </si>
  <si>
    <t xml:space="preserve"> OTROS SERVICIOS NO ESPECIFICADOS</t>
  </si>
  <si>
    <t>MATERIALES Y SUMINISTROS</t>
  </si>
  <si>
    <t>COMBUSTIBLES Y LUBRICANTES</t>
  </si>
  <si>
    <t xml:space="preserve"> TINTAS PINTURAS Y DILUYENTES</t>
  </si>
  <si>
    <t>Los montos de Contabilidad corresponden a salidas de bodega, que no tienen afectación en presupuesto. Y los registros en presupuesto corresponde a compras de "Tintas, pinturas y diluyentes" que contablemente se registra en la cuenta 1-1-4-01-01-04 Tintas, pinturas y diluyentes. La diferencia en relación a las compras es de ¢3,527.49 (que no están en presupuesto)</t>
  </si>
  <si>
    <t xml:space="preserve"> MAT. Y PROD. ELECT., TELEF. Y COMP.</t>
  </si>
  <si>
    <t>Los montos de Contabilidad corresponden a salidas de bodega, que no tienen afectación en presupuesto. Y los registros en presupuesto corresponde a compras de "materiales y productos elécticos, telefónicos y de cómputo" que contablemente se registra en la cuenta 1-1-4-01-03-04 Materiales y productos electricos, telefónicos</t>
  </si>
  <si>
    <t xml:space="preserve"> REPUESTOS Y ACCESORIOS</t>
  </si>
  <si>
    <t xml:space="preserve"> UTILES Y MATER. OFICINA Y COMPUTO</t>
  </si>
  <si>
    <t>Los montos de Contabilidad corresponden a salidas de bodega, que no tienen afectación en presupuesto. Y los registros en presupuesto corresponde a compras de "útiles y materiales de oficina y cómputo" que contablemente se registra en la cuenta 1-1-4-01-99-01 Utiles y materiales de oficina y cómputo</t>
  </si>
  <si>
    <t xml:space="preserve"> PRODUCTOS PAPEL, CARTON E IMPRESOS</t>
  </si>
  <si>
    <t>Los montos de Contabilidad corresponden a salidas de bodega, que no tienen afectación en presupuesto. Y los registros en presupuesto corresponde a compras de "productos de papel, cartón e impresos" que contablemente se registra en la cuenta 1-1-4-01-99-03 Productos de papel, cartón e impresos</t>
  </si>
  <si>
    <t>UTILES Y MATERIALES DE LIMPIEZA</t>
  </si>
  <si>
    <t>Los montos de Contabilidad corresponden a salidas de bodega, que no tienen afectación en presupuesto. Y los registros en presupuesto corresponde a compras de "útiles y materiales de limpieza" que contablemente se registra en la cuenta 1-1-4-01-99-05 Utiles y materiales de limpieza</t>
  </si>
  <si>
    <t xml:space="preserve"> OTROS UTILES, MATER. Y SUMINISTROS</t>
  </si>
  <si>
    <t>Los montos de Contabilidad corresponden a salidas de bodega, que no tienen afectación en presupuesto. Y los registros en presupuesto corresponde a compras de "otros útiles, materiales y suministros diversos" que contablemente se registra en la cuenta 1-1-4-01-99-99 Otros útiles, materiales y suministros diversos</t>
  </si>
  <si>
    <t>DEPRECIACIONES DE PROPIEDADES, PLANTA Y EQUIPOS</t>
  </si>
  <si>
    <t>La cuenta de depreciaciones no tiene afectación presupuestaria</t>
  </si>
  <si>
    <t>DETERIORO Y DESVALORIZACION DE EQUIPOS Y MOBILIARIO DE OFICINA</t>
  </si>
  <si>
    <t>No tiene afectación en presupuesto</t>
  </si>
  <si>
    <t>DESVALORIZACION Y PÉRDIDAS DE UTILES, MATERIALES Y SUMINISTROS</t>
  </si>
  <si>
    <t>BIENES DURADEROS</t>
  </si>
  <si>
    <t>Equipo y Mobiliario de Oficina</t>
  </si>
  <si>
    <t>Corresponde a compras de equipo y mobiliario que no afecta cuenta de resultados, está registrado en la cuenta de balance correspondiente</t>
  </si>
  <si>
    <t>Equipo y Programas de Computo</t>
  </si>
  <si>
    <t>Maquinaria, equipo y mobiliario diverso</t>
  </si>
  <si>
    <t xml:space="preserve">  Bienes Intangibles</t>
  </si>
  <si>
    <t>TRANSFERENCIAS CORRIENTES</t>
  </si>
  <si>
    <t>Transferencias corrientes a Órganos Desconcentrados</t>
  </si>
  <si>
    <t xml:space="preserve"> TRANSF. CORRIENTES A INST. DESCENT.</t>
  </si>
  <si>
    <t>La diferencia se da a nivel contable, debido a que se registraron de forma errónea los contratos del fondo de incentivos, contabilizando como gasto el total de contrato, no siendo esta la afectación en contabilidad. Se realizó a la CN una consulta referente al manejo contable del registro de dichos contratos, a la fecha estamos a la espera de la respuesta.</t>
  </si>
  <si>
    <t xml:space="preserve"> Fondos en Fideicomiso para gasto corriente</t>
  </si>
  <si>
    <t xml:space="preserve"> Becas a terceras personas</t>
  </si>
  <si>
    <t>La diferencia se origina en el registro errónea los contratos del fondo de incentivos, ya que se registra al gasto el total de contrato, no siendo esta la forma correcta de realizarlo; entonces en este caso la diferencia se da por pagos realizados en el 2019 registrados contablemente en el 2018, de ahí que el monto en presupuesto sea más alto que en contabilidad. Se realizó a la CN una consulta referente al manejo contable del registro de dichos contratos, a la fecha estamos a la espera de la respuesta.</t>
  </si>
  <si>
    <t xml:space="preserve"> Otras transferencias a personas</t>
  </si>
  <si>
    <t xml:space="preserve">  Prestaciones Legales</t>
  </si>
  <si>
    <t>Otras prestaciones</t>
  </si>
  <si>
    <r>
      <t xml:space="preserve">La diferencia corresponde a que el sistema Wizdom no registra correctamente las incapacidades del INS en la cuenta contable "Otras remuneraciones básicas" , afectando contablemente entonces las otras partidas relacionadas con salarios </t>
    </r>
    <r>
      <rPr>
        <b/>
        <sz val="9"/>
        <rFont val="Calibri"/>
        <family val="2"/>
        <scheme val="minor"/>
      </rPr>
      <t>(sueldos para cargos fijos, retribución por años servidos, restricción al ejercicio liberal de la profesión, complemento salarial y otros incentivos salariales)</t>
    </r>
  </si>
  <si>
    <t xml:space="preserve"> Transferencias corrientes a asociaciones</t>
  </si>
  <si>
    <t>Transferencias corrientes a fundaciones</t>
  </si>
  <si>
    <t>La diferencia corresponde a un saldo que se solicitó caducar y se registró en contabilidad el 21/02/2019, con referencia el oficio GF-336-18 del 12/07/2018. Se afectó la cuenta de gastos, sin embargo, debió afectarse periodos anteriores pues era un gasto registrado en el año 2018</t>
  </si>
  <si>
    <t xml:space="preserve"> Transferencias corrientes a cooperativas</t>
  </si>
  <si>
    <t xml:space="preserve"> Transferencias corrientes a empresas privadas</t>
  </si>
  <si>
    <t xml:space="preserve"> INDEMNIZACIONES</t>
  </si>
  <si>
    <t xml:space="preserve">  Reintegros o devoluciones</t>
  </si>
  <si>
    <t xml:space="preserve"> TRANSF. CTES. A ORGANISMOS INTERNAC</t>
  </si>
  <si>
    <t>DIFERENCIAS DE CAMBIO NEGATIVAS POR ACTIVOS FINANCIEROS</t>
  </si>
  <si>
    <t>FIDEICOMISO 25-02</t>
  </si>
  <si>
    <t>FIDEICOMISO 04-99</t>
  </si>
  <si>
    <t>MULTAS Y SANCIONES ADMINISTRATIVAS</t>
  </si>
  <si>
    <t>Corresponde a recargo en pago del agua por atraso en el pago, presupuestariamente se registró en la partida 1.02.01 servicio de agua y alcantarillado</t>
  </si>
  <si>
    <t>OTROS RESULTADOS NEGATIVOS</t>
  </si>
  <si>
    <t>Balance de Comprobación</t>
  </si>
  <si>
    <t xml:space="preserve">Código Institucional: </t>
  </si>
  <si>
    <t>Moneda: CRC</t>
  </si>
  <si>
    <t>CODIGO SEGMENTO</t>
  </si>
  <si>
    <t>CUENTA (REPORTAR MÁXIMO A NIVEL 8)</t>
  </si>
  <si>
    <t>NOMBRE CUENTA</t>
  </si>
  <si>
    <t>SALDO INICIAL</t>
  </si>
  <si>
    <t>DEBITOS PERIODO</t>
  </si>
  <si>
    <t>CREDITOS PERIODO</t>
  </si>
  <si>
    <t>SALDO FINAL</t>
  </si>
  <si>
    <t>1.1</t>
  </si>
  <si>
    <t>ACTIVO CORRIENTE</t>
  </si>
  <si>
    <t>EFECTIVO Y EQUIVALENTES DE EFECTIVO</t>
  </si>
  <si>
    <t>EFECTIVO</t>
  </si>
  <si>
    <t>1.1.1.01.02.</t>
  </si>
  <si>
    <t>DEPOSITOS BANCARIOS</t>
  </si>
  <si>
    <t>1.1.1.01.02.02.</t>
  </si>
  <si>
    <t>DEPOSITOS BANCARIOS EN EL SECTOR PUBLICO INTERNO</t>
  </si>
  <si>
    <t>1.1.1.01.02.02.2.</t>
  </si>
  <si>
    <t>CUENTAS CORRIENTES EN EL SECTOR PUBLICO INTERNO</t>
  </si>
  <si>
    <t>1.1.1.01.02.02.2.21101</t>
  </si>
  <si>
    <t>BANCO DE COSTA RICA (BCR)</t>
  </si>
  <si>
    <t>1.1.1.01.02.02.2.21103</t>
  </si>
  <si>
    <t>BANCO NACIONAL DE COSTA RICA (BNCR)</t>
  </si>
  <si>
    <t>1.1.1.01.02.02.3.</t>
  </si>
  <si>
    <t>CAJA UNICA</t>
  </si>
  <si>
    <t>1.1.1.01.02.02.3.11206</t>
  </si>
  <si>
    <t>MINISTERIO DE HACIENDA</t>
  </si>
  <si>
    <t>1.1.1.01.03.</t>
  </si>
  <si>
    <t>CAJAS CHICAS Y FONDOS ROTATORIOS</t>
  </si>
  <si>
    <t>1.1.1.01.03.01.</t>
  </si>
  <si>
    <t>CAJAS CHICAS</t>
  </si>
  <si>
    <t>1.1.1.01.03.01.2.</t>
  </si>
  <si>
    <t>CAJAS CHICAS EN EL PAIS</t>
  </si>
  <si>
    <t>1.1.1.01.03.01.2.99999</t>
  </si>
  <si>
    <t>CONSEJO NACIONAL PARA INVESTIGACIONES CIENTÍFICAS Y TECNOLOGICAS</t>
  </si>
  <si>
    <t>CUENTAS A COBRAR A CORTO PLAZO</t>
  </si>
  <si>
    <t xml:space="preserve">CONTRIBUCIONES SOCIALES A COBRAR A CORTO PLAZO </t>
  </si>
  <si>
    <t>1.1.3.02.01.</t>
  </si>
  <si>
    <t>CONTRIBUCIONES A LA SEGURIDAD SOCIAL A COBRAR C/P</t>
  </si>
  <si>
    <t>1.1.3.02.01.01.</t>
  </si>
  <si>
    <t>CONTRIBUCIONES AL SEGURO DE PENSIONES A COBRAR C/P</t>
  </si>
  <si>
    <t>1.1.3.02.01.01.0.</t>
  </si>
  <si>
    <t>1.1.3.02.01.01.0.99999</t>
  </si>
  <si>
    <t>SERVICIOS Y DERECHOS A COBRAR A CORTO PLAZO</t>
  </si>
  <si>
    <t>1.1.3.04.02.</t>
  </si>
  <si>
    <t>DERECHOS ADMINISTRATIVOS A COBRAR C/P</t>
  </si>
  <si>
    <t>1.1.3.04.02.01.</t>
  </si>
  <si>
    <t>DERECHOS ADMINISTRATIVOS A LOS SERVICIOS DE TRANSPORTE A COBRAR C/P</t>
  </si>
  <si>
    <t>1.1.3.04.02.01.0.</t>
  </si>
  <si>
    <t>1.1.3.04.02.01.0.22191</t>
  </si>
  <si>
    <t>INSTITUTO NACIONAL DE SEGUROS (INS)</t>
  </si>
  <si>
    <t>1.1.3.04.02.99.</t>
  </si>
  <si>
    <t>OTROS DERECHOS ADMINISTRATIVOS A COBRAR C/P</t>
  </si>
  <si>
    <t>1.1.3.04.02.99.0.</t>
  </si>
  <si>
    <t>1.1.3.04.02.99.0.21100</t>
  </si>
  <si>
    <t xml:space="preserve">JUNTA DEL BANCO CREDITO AGRICOLA DE CARTAGO </t>
  </si>
  <si>
    <t>TRANSFERENCIAS A COBRAR A CORTO PLAZO</t>
  </si>
  <si>
    <t>1.1.3.06.02.</t>
  </si>
  <si>
    <t>TRANSFERENCIAS DEL SECTOR PUBLICO INTERNO A COBRAR C/P</t>
  </si>
  <si>
    <t>1.1.3.06.02.01.</t>
  </si>
  <si>
    <t>TRANSFERENCIAS DEL GOBIERNO CENTRAL A C/P</t>
  </si>
  <si>
    <t>1.1.3.06.02.01.0.</t>
  </si>
  <si>
    <t>1.1.3.06.02.01.0.11206</t>
  </si>
  <si>
    <t>DOCUMENTOS A COBRAR A CORTO PLAZO</t>
  </si>
  <si>
    <t>1.1.3.08.01.</t>
  </si>
  <si>
    <t>DOCUMENTOS A COBRAR POR VENTAS INTERNAS DE BIENES Y SERVICIOS C/P</t>
  </si>
  <si>
    <t>1.1.3.08.01.01.</t>
  </si>
  <si>
    <t>DOCUMENTOS A COBRAR POR VENTAS INTERNAS DE BIENES C/P</t>
  </si>
  <si>
    <t>1.1.3.08.01.01.1.</t>
  </si>
  <si>
    <t>DOCUMENTOS A COBRAR POR VENTAS INTERNAS DE BIENES C/P - VALOR NOMINAL</t>
  </si>
  <si>
    <t>1.1.3.08.01.01.1.99999</t>
  </si>
  <si>
    <t>1.1.3.08.02.</t>
  </si>
  <si>
    <t>DOCUMENTOS A COBRAR POR FRACCIONAMIENTO Y ARREGLOS DE PAGO C/P</t>
  </si>
  <si>
    <t>1.1.3.08.02.99.</t>
  </si>
  <si>
    <t>1.1.3.08.02.99.1.</t>
  </si>
  <si>
    <t>DOCUMENTOS A COBRAR POR FRACCIONAMIENTO Y ARREGLOS DE PAGO C/P-VALOR NOMINAL</t>
  </si>
  <si>
    <t>1.1.3.08.02.99.1.99999</t>
  </si>
  <si>
    <t>ANTICIPOS A CORTO PLAZO</t>
  </si>
  <si>
    <t>1.1.3.09.02.</t>
  </si>
  <si>
    <t>ANTICIPOS DEL SECTOR PUBLICO INTERNO C/P</t>
  </si>
  <si>
    <t>1.1.3.09.02.06.</t>
  </si>
  <si>
    <t>ANTICIPOS INSTITUCIONES PUBLICAS FINANCIERAS C/P</t>
  </si>
  <si>
    <t>1.1.3.09.02.06.0.</t>
  </si>
  <si>
    <t>1.1.3.09.02.06.0.21100</t>
  </si>
  <si>
    <t>OTRAS CUENTAS A COBRAR A CORTO PLAZO</t>
  </si>
  <si>
    <t>1.1.3.98.99.</t>
  </si>
  <si>
    <t>CREDITOS VARIOS C/P</t>
  </si>
  <si>
    <t>1.1.3.98.99.01.</t>
  </si>
  <si>
    <t>CREDITOS VARIOS CON EL SECTOR PRIVADO INTERNO C/P</t>
  </si>
  <si>
    <t>1.1.3.98.99.01.0.</t>
  </si>
  <si>
    <t>1.1.3.98.99.01.0.99999</t>
  </si>
  <si>
    <t>PREVISIONES PARA DETERIORO DE CUENTAS A COBRAR A CORTO PLAZO</t>
  </si>
  <si>
    <t>1.1.3.99.08.</t>
  </si>
  <si>
    <t>PREVISIONES PARA DOCUMENTOS A COBRAR  C/P*</t>
  </si>
  <si>
    <t>1.1.3.99.08.02.</t>
  </si>
  <si>
    <t>PREVISIONES PARA DOCUMENTOS A COBRAR POR FRACCIONAMIENTOS Y ARREGLOS DE PAGO C/P*</t>
  </si>
  <si>
    <t>1.1.3.99.08.02.0.</t>
  </si>
  <si>
    <t>1.1.3.99.08.02.0.21100</t>
  </si>
  <si>
    <t>INVENTARIOS</t>
  </si>
  <si>
    <t>MATERIALES Y SUMINISTROS PARA CONSUMO Y PRESTACION DE</t>
  </si>
  <si>
    <t>1.1.4.01.01.</t>
  </si>
  <si>
    <t>PRODUCTOS QUIMICOS Y CONEXOS</t>
  </si>
  <si>
    <t>1.1.4.01.01.02.</t>
  </si>
  <si>
    <t>PRODUCTOS FARMACEUTICOS Y MEDICINALES</t>
  </si>
  <si>
    <t>1.1.4.01.01.02.0.</t>
  </si>
  <si>
    <t>1.1.4.01.01.02.0.99999</t>
  </si>
  <si>
    <t>1.1.4.01.01.04.</t>
  </si>
  <si>
    <t>TINTAS, PINTURAS Y DILUYENTES</t>
  </si>
  <si>
    <t>1.1.4.01.01.04.0.</t>
  </si>
  <si>
    <t>1.1.4.01.01.04.0.99999</t>
  </si>
  <si>
    <t>1.1.4.01.03.</t>
  </si>
  <si>
    <t>MATERIALES Y PRODUCTOS DE USO EN LA CONSTRUCCION Y M</t>
  </si>
  <si>
    <t>1.1.4.01.03.99.</t>
  </si>
  <si>
    <t>OTROS MATERIALES Y PROD.DE USO EN LA CONSTRUCCION</t>
  </si>
  <si>
    <t>1.1.4.01.03.99.0.</t>
  </si>
  <si>
    <t>OTROS MATERIALES Y PROD.DE USO EN LA CONSTRUCCIO</t>
  </si>
  <si>
    <t>1.1.4.01.03.99.0.99999</t>
  </si>
  <si>
    <t>OTROS MATERIALES Y PROD.DE USO EN LA CONSTRUCC</t>
  </si>
  <si>
    <t>1.1.4.01.99.</t>
  </si>
  <si>
    <t>UTILES, MATERIALES Y SUMINISTROS DIVERSOS</t>
  </si>
  <si>
    <t>1.1.4.01.99.01.</t>
  </si>
  <si>
    <t>UTILES Y MATERIALES DE OFICINA Y COMPUTO</t>
  </si>
  <si>
    <t>1.1.4.01.99.01.0.</t>
  </si>
  <si>
    <t>1.1.4.01.99.01.0.99999</t>
  </si>
  <si>
    <t>1.1.4.01.99.03.</t>
  </si>
  <si>
    <t>PRODUCTOS DE PAPEL, CARTON E IMPRESOS</t>
  </si>
  <si>
    <t>1.1.4.01.99.03.0.</t>
  </si>
  <si>
    <t>1.1.4.01.99.03.0.99999</t>
  </si>
  <si>
    <t>1.1.4.01.99.05.</t>
  </si>
  <si>
    <t>1.1.4.01.99.05.0.</t>
  </si>
  <si>
    <t>1.1.4.01.99.05.0.99999</t>
  </si>
  <si>
    <t>1.1.4.01.99.99.</t>
  </si>
  <si>
    <t>OTROS UTILES, MATERIALES Y SUMINISTROS DIVERSOS</t>
  </si>
  <si>
    <t>1.1.4.01.99.99.0.</t>
  </si>
  <si>
    <t>1.1.4.01.99.99.0.99999</t>
  </si>
  <si>
    <t>OTROS UTILES, MATERIALES Y SUMINISTROS DIVERSO</t>
  </si>
  <si>
    <t>OTROS ACTIVOS A CORTO PLAZO</t>
  </si>
  <si>
    <t>GASTOS A DEVENGAR A CORTO PLAZO</t>
  </si>
  <si>
    <t>1.1.9.01.01.</t>
  </si>
  <si>
    <t>SERVICIOS A DEVENGAR C/P</t>
  </si>
  <si>
    <t>1.1.9.01.01.01.</t>
  </si>
  <si>
    <t>PRIMAS Y GASTOS DE SEGUROS A DEVENGAR C/P</t>
  </si>
  <si>
    <t>1.1.9.01.01.01.0.</t>
  </si>
  <si>
    <t>1.1.9.01.01.01.0.22191</t>
  </si>
  <si>
    <t>1.1.9.01.99.</t>
  </si>
  <si>
    <t>OTROS GASTOS A DEVENGAR C/P</t>
  </si>
  <si>
    <t>1.1.9.01.99.99.</t>
  </si>
  <si>
    <t>1.1.9.01.99.99.0.</t>
  </si>
  <si>
    <t>1.1.9.01.99.99.0.99999</t>
  </si>
  <si>
    <t>COMBUSTIBLE PAGADO POR ADELANTADO</t>
  </si>
  <si>
    <t>CUENTAS TRANSITORIAS</t>
  </si>
  <si>
    <t>1.1.9.02.01.</t>
  </si>
  <si>
    <t>REGISTROS TRANSITORIOS</t>
  </si>
  <si>
    <t>1.1.9.02.01.01.</t>
  </si>
  <si>
    <t>REGISTROS TRANSITORIOS DE TRANSACCIONES SIN MOVIMIENTO DE FONDOS</t>
  </si>
  <si>
    <t>1.1.9.02.01.01.0.</t>
  </si>
  <si>
    <t>1.1.9.02.01.01.0.99999</t>
  </si>
  <si>
    <t>ACTIVO NO CORRIENTE</t>
  </si>
  <si>
    <t>PROPIEDADES, PLANTA Y EQUIPOS EXPLOTADOS</t>
  </si>
  <si>
    <t>TIERRAS Y TERRENOS</t>
  </si>
  <si>
    <t>1.2.5.01.01.01.</t>
  </si>
  <si>
    <t>TERRENOS PARA CONSTRUCCION DE EDIFICIOS</t>
  </si>
  <si>
    <t>1.2.5.01.01.01.6.</t>
  </si>
  <si>
    <t>VALORES DE ORIGEN</t>
  </si>
  <si>
    <t>1.2.5.01.01.01.6.99999</t>
  </si>
  <si>
    <t>VALORES DE ORIGEN - TERRENOS PARA CONSTRUCCION</t>
  </si>
  <si>
    <t>1.2.5.01.01.01.7.</t>
  </si>
  <si>
    <t>REVALUACIONES</t>
  </si>
  <si>
    <t>1.2.5.01.01.01.7.99999</t>
  </si>
  <si>
    <t>EDIFICIOS</t>
  </si>
  <si>
    <t>1.2.5.01.02.01.</t>
  </si>
  <si>
    <t>EDIFICIOS DE OFICINAS Y ATENCION AL PUBLICO</t>
  </si>
  <si>
    <t>1.2.5.01.02.01.1.</t>
  </si>
  <si>
    <t>1.2.5.01.02.01.1.99999</t>
  </si>
  <si>
    <t>VALORES DE ORIGEN - EDIFICIOS DE OFICINAS Y AT</t>
  </si>
  <si>
    <t>1.2.5.01.02.01.2.</t>
  </si>
  <si>
    <t>REVALUACIONES - EDIFICIOS DE OFICINAS Y AT</t>
  </si>
  <si>
    <t>1.2.5.01.02.01.3.</t>
  </si>
  <si>
    <t>DEPRECIACIONES ACUMULADAS *</t>
  </si>
  <si>
    <t>1.2.5.01.02.01.3.99999</t>
  </si>
  <si>
    <t>DEPRECIACIONES ACUMULADAS*-EDIFICIOS DE OFICIN</t>
  </si>
  <si>
    <t>1.2.5.01.02.01.4.</t>
  </si>
  <si>
    <t>PERDIDAS POR DETERIORO *</t>
  </si>
  <si>
    <t>1.2.5.01.02.01.4.99999</t>
  </si>
  <si>
    <t>PERDIDAS POR DETERIORO*-EDIFICIOS DE OFICIN</t>
  </si>
  <si>
    <t>MAQUINARIA Y EQUIPO PARA LA PRODUCCION</t>
  </si>
  <si>
    <t>1.2.5.01.03.03.</t>
  </si>
  <si>
    <t>PLANTA ELECTRICA</t>
  </si>
  <si>
    <t>1.2.5.01.03.03.1.</t>
  </si>
  <si>
    <t>1.2.5.01.03.03.1.99999</t>
  </si>
  <si>
    <t>VALORES DE ORIGEN - PLANTA ELECTRICA</t>
  </si>
  <si>
    <t>1.2.5.01.03.03.3.</t>
  </si>
  <si>
    <t>DEPRECIACIONES ACUMULADAS*</t>
  </si>
  <si>
    <t>1.2.5.01.03.03.3.99999</t>
  </si>
  <si>
    <t>DEPRECIACIONES ACUMULADAS * - PLANTA ELECTRICA</t>
  </si>
  <si>
    <t>EQUIPO DE TRANSPORTE, TRACCION Y ELEVACION</t>
  </si>
  <si>
    <t>1.2.5.01.04.02.</t>
  </si>
  <si>
    <t>VEHICULOS</t>
  </si>
  <si>
    <t>1.2.5.01.04.02.1.</t>
  </si>
  <si>
    <t>1.2.5.01.04.02.1.99999</t>
  </si>
  <si>
    <t>VALORES DE ORIGEN - VEHICULOS</t>
  </si>
  <si>
    <t>1.2.5.01.04.02.3.</t>
  </si>
  <si>
    <t>1.2.5.01.04.02.3.99999</t>
  </si>
  <si>
    <t>DEPRECIACIONES ACUMULADAS * - VEHICULOS</t>
  </si>
  <si>
    <t>EQUIPOS DE COMUNICACION</t>
  </si>
  <si>
    <t>1.2.5.01.05.02.</t>
  </si>
  <si>
    <t>EQUIPOS DE TELEFONIA</t>
  </si>
  <si>
    <t>1.2.5.01.05.02.1.</t>
  </si>
  <si>
    <t>1.2.5.01.05.02.1.99999</t>
  </si>
  <si>
    <t>VALORES DE ORIGEN - EQUIPOS DE TELEFONIA</t>
  </si>
  <si>
    <t>1.2.5.01.05.02.3.</t>
  </si>
  <si>
    <t>1.2.5.01.05.02.3.99999</t>
  </si>
  <si>
    <t>DEPRECIACIONES ACUMULADAS * - EQUIPOS DE TELEF</t>
  </si>
  <si>
    <t>1.2.5.01.05.03.</t>
  </si>
  <si>
    <t>EQUIPO DE RADIOCOMUNICACIÓN</t>
  </si>
  <si>
    <t>1.2.5.01.05.03.1.</t>
  </si>
  <si>
    <t>VALOR DE ORIGEN</t>
  </si>
  <si>
    <t>1.2.5.01.05.03.1.99999</t>
  </si>
  <si>
    <t>VALOR DE ORIGEN - EQUIPO RADIOCOMUNICACION</t>
  </si>
  <si>
    <t>1.2.5.01.05.04.</t>
  </si>
  <si>
    <t>EQUIPOS DE AUDIO Y VIDEO</t>
  </si>
  <si>
    <t>1.2.5.01.05.04.1.</t>
  </si>
  <si>
    <t>1.2.5.01.05.04.1.99999</t>
  </si>
  <si>
    <t>VALORES DE ORIGEN - EQUIPOS DE AUDIO Y VIDEO</t>
  </si>
  <si>
    <t>1.2.5.01.05.04.3.</t>
  </si>
  <si>
    <t>1.2.5.01.05.04.3.99999</t>
  </si>
  <si>
    <t>DEPRECIACIONES ACUMULADAS * - EQUIPOS DE AUDIO</t>
  </si>
  <si>
    <t>1.2.5.01.05.99.</t>
  </si>
  <si>
    <t>OTROS EQUIPOS DE COMUNICACION</t>
  </si>
  <si>
    <t>1.2.5.01.05.99.1.</t>
  </si>
  <si>
    <t>1.2.5.01.05.99.1.99999</t>
  </si>
  <si>
    <t>VALORES DE ORIGEN - OTROS EQUIPOS DE COMUNICAC</t>
  </si>
  <si>
    <t>1.2.5.01.05.99.3.</t>
  </si>
  <si>
    <t>1.2.5.01.05.99.3.99999</t>
  </si>
  <si>
    <t>DEPRECIACIONES ACUMULADAS * - OTROS EQUIPOS DE</t>
  </si>
  <si>
    <t>EQUIPOS Y MOBILIARIO DE OFICINA</t>
  </si>
  <si>
    <t>1.2.5.01.06.01.</t>
  </si>
  <si>
    <t>ARCHIVADORES, BIBLIOTECAS Y ARMARIOS</t>
  </si>
  <si>
    <t>1.2.5.01.06.01.1.</t>
  </si>
  <si>
    <t>1.2.5.01.06.01.1.99999</t>
  </si>
  <si>
    <t>VALORES DE ORIGEN  -  ARCHIVADORES, BIBLIOTECA</t>
  </si>
  <si>
    <t>1.2.5.01.06.01.2.</t>
  </si>
  <si>
    <t>1.2.5.01.06.01.2.99999</t>
  </si>
  <si>
    <t>1.2.5.01.06.01.4.</t>
  </si>
  <si>
    <t>PERDIDAS POR DETERIORO*</t>
  </si>
  <si>
    <t>1.2.5.01.06.01.4.99999</t>
  </si>
  <si>
    <t>PREDIDA POR DETERIORO ARCHIVADORES, BIBILIOTECA</t>
  </si>
  <si>
    <t>1.2.5.01.06.01.3.</t>
  </si>
  <si>
    <t>1.2.5.01.06.01.3.99999</t>
  </si>
  <si>
    <t>DEPRECIACIONES ACUMULADAS*-ARCHIVADORES, BIBLI</t>
  </si>
  <si>
    <t>1.2.5.01.06.02.</t>
  </si>
  <si>
    <t>MESAS Y ESCRITORIOS</t>
  </si>
  <si>
    <t>1.2.5.01.06.02.1.</t>
  </si>
  <si>
    <t>1.2.5.01.06.02.1.99999</t>
  </si>
  <si>
    <t>VALORES DE ORIGEN - MESAS Y ESCRITORIOS</t>
  </si>
  <si>
    <t>1.2.5.01.06.02.3.</t>
  </si>
  <si>
    <t>DEPRECIACION ACUMULADAS *</t>
  </si>
  <si>
    <t>1.2.5.01.06.02.3.99999</t>
  </si>
  <si>
    <t>DEPRECIACIONES ACUMULADAS *- MESAS Y ESCRITORI</t>
  </si>
  <si>
    <t>1.2.5.01.06.03.</t>
  </si>
  <si>
    <t>SILLAS  Y BANCOS</t>
  </si>
  <si>
    <t>1.2.5.01.06.03.1.</t>
  </si>
  <si>
    <t>1.2.5.01.06.03.1.99999</t>
  </si>
  <si>
    <t>VALORES DE ORIGEN - SILLAS Y BANCOS</t>
  </si>
  <si>
    <t>1.2.5.01.06.03.3.</t>
  </si>
  <si>
    <t>1.2.5.01.06.03.3.99999</t>
  </si>
  <si>
    <t>DEPRECIACIONES ACUMULADAS *- SILLAS Y BANCOS</t>
  </si>
  <si>
    <t>1.2.5.01.06.05.</t>
  </si>
  <si>
    <t>EQUIPOS DE VENTILACION</t>
  </si>
  <si>
    <t>1.2.5.01.06.05.1.</t>
  </si>
  <si>
    <t>1.2.5.01.06.05.1.99999</t>
  </si>
  <si>
    <t>VALORES DE ORIGEN - EQUIPOS DE VENTILACION</t>
  </si>
  <si>
    <t>1.2.5.01.06.05.3.</t>
  </si>
  <si>
    <t>1.2.5.01.06.05.3.99999</t>
  </si>
  <si>
    <t>DEPRECIACIONES ACUMULADAS * - EQUIPOS DE VENTI</t>
  </si>
  <si>
    <t>1.2.5.01.06.99.</t>
  </si>
  <si>
    <t>OTROS EQUIPOS Y MOBILIARIO</t>
  </si>
  <si>
    <t>1.2.5.01.06.99.1.</t>
  </si>
  <si>
    <t>1.2.5.01.06.99.1.99999</t>
  </si>
  <si>
    <t>VALORES DE ORIGEN - OTROS EQUIPOS Y MOBILIARIO</t>
  </si>
  <si>
    <t>1.2.5.01.06.99.3.</t>
  </si>
  <si>
    <t>1.2.5.01.06.99.3.99999</t>
  </si>
  <si>
    <t>DEPRECIACIONES ACUMULADAS * - OTROS EQUIPOS Y</t>
  </si>
  <si>
    <t>EQUIPOS PARA COMPUTACION</t>
  </si>
  <si>
    <t>1.2.5.01.07.01.</t>
  </si>
  <si>
    <t>COMPUTADORAS</t>
  </si>
  <si>
    <t>1.2.5.01.07.01.1.</t>
  </si>
  <si>
    <t>1.2.5.01.07.01.1.99999</t>
  </si>
  <si>
    <t>VALORES DE ORIGEN - COMPUTADORAS</t>
  </si>
  <si>
    <t>1.2.5.01.07.01.3.</t>
  </si>
  <si>
    <t>1.2.5.01.07.01.3.99999</t>
  </si>
  <si>
    <t>DEPRECIACIONES ACUMULADAS * - COMPUTADORAS</t>
  </si>
  <si>
    <t>1.2.5.01.07.02.</t>
  </si>
  <si>
    <t>IMPRESORAS</t>
  </si>
  <si>
    <t>1.2.5.01.07.02.1.</t>
  </si>
  <si>
    <t>1.2.5.01.07.02.1.99999</t>
  </si>
  <si>
    <t>VALORES DE ORIGEN - IMPRESORAS</t>
  </si>
  <si>
    <t>1.2.5.01.07.02.3.</t>
  </si>
  <si>
    <t>1.2.5.01.07.02.3.99999</t>
  </si>
  <si>
    <t>DEPRECIACIONES ACUMULADAS * - IMPRESORAS</t>
  </si>
  <si>
    <t>1.2.5.01.07.03.</t>
  </si>
  <si>
    <t>MODEM</t>
  </si>
  <si>
    <t>1.2.5.01.07.03.1.</t>
  </si>
  <si>
    <t>1.2.5.01.07.03.1.99999</t>
  </si>
  <si>
    <t>VALORES DE ORIGEN - MODEM</t>
  </si>
  <si>
    <t>1.2.5.01.07.03.3.</t>
  </si>
  <si>
    <t>1.2.5.01.07.03.3.99999</t>
  </si>
  <si>
    <t>DEPRECIACIONES ACUMULADAS * - MODEM</t>
  </si>
  <si>
    <t>1.2.5.01.07.04.</t>
  </si>
  <si>
    <t>MONITORES</t>
  </si>
  <si>
    <t>1.2.5.01.07.04.1.</t>
  </si>
  <si>
    <t>1.2.5.01.07.04.1.99999</t>
  </si>
  <si>
    <t>VALORES DE ORIGEN - MONITORES</t>
  </si>
  <si>
    <t>1.2.5.01.07.04.3.</t>
  </si>
  <si>
    <t>1.2.5.01.07.04.3.99999</t>
  </si>
  <si>
    <t>DEPRECIACIONES ACUMULADAS * - MONITORES</t>
  </si>
  <si>
    <t>1.2.5.01.07.05.</t>
  </si>
  <si>
    <t>UPS</t>
  </si>
  <si>
    <t>1.2.5.01.07.05.1.</t>
  </si>
  <si>
    <t>1.2.5.01.07.05.1.99999</t>
  </si>
  <si>
    <t>VALORES DE ORIGEN - UPS</t>
  </si>
  <si>
    <t>1.2.5.01.07.05.3.</t>
  </si>
  <si>
    <t>1.2.5.01.07.05.3.99999</t>
  </si>
  <si>
    <t>DEPRECIACIONES ACUMULADAS * - UPS</t>
  </si>
  <si>
    <t>1.2.5.01.07.99.</t>
  </si>
  <si>
    <t>OTROS EQUIPOS DE COMPUTO</t>
  </si>
  <si>
    <t>1.2.5.01.07.99.1.</t>
  </si>
  <si>
    <t>1.2.5.01.07.99.1.99999</t>
  </si>
  <si>
    <t>VALORES DE ORIGEN - OTROS EQUIPOS DE COMPUTO</t>
  </si>
  <si>
    <t>1.2.5.01.07.99.3.</t>
  </si>
  <si>
    <t>1.2.5.01.07.99.3.99999</t>
  </si>
  <si>
    <t>EQUIPOS SANITARIOS, DE LABORATORIO E INVESTIGACION</t>
  </si>
  <si>
    <t>1.2.5.01.08.01.</t>
  </si>
  <si>
    <t>EQUIPOS E INSTRUMENTAL MEDICO</t>
  </si>
  <si>
    <t>1.2.5.01.08.01.1.</t>
  </si>
  <si>
    <t>1.2.5.01.08.01.1.99999</t>
  </si>
  <si>
    <t>VALORES DE ORIGEN - EQUIPOS E INSTRUMENTAL MED</t>
  </si>
  <si>
    <t>1.2.5.01.08.01.3.</t>
  </si>
  <si>
    <t>1.2.5.01.08.01.3.99999</t>
  </si>
  <si>
    <t>DEPRECIACIONES ACUMULADAS * - EQUIPOS E INSTRU</t>
  </si>
  <si>
    <t>1.2.5.01.08.99.</t>
  </si>
  <si>
    <t>OTROS EQUIPOS SANITARIOS Y DE LABORATORIO</t>
  </si>
  <si>
    <t>1.2.5.01.08.99.1.</t>
  </si>
  <si>
    <t>1.2.5.01.08.99.1.99999</t>
  </si>
  <si>
    <t>VALORES DE ORIGEN - OTROS EQUIPOS SANITARIOS Y</t>
  </si>
  <si>
    <t>1.2.5.01.08.99.3.</t>
  </si>
  <si>
    <t>1.2.5.01.08.99.3.99999</t>
  </si>
  <si>
    <t>DEPRECIACIONES ACUMULADAS*-OTROS EQUIPOS SANIT</t>
  </si>
  <si>
    <t>EQUIPOS Y MOBILIARIO EDUCACIONAL, DEPORTIVO Y RECREA</t>
  </si>
  <si>
    <t>1.2.5.01.09.01.</t>
  </si>
  <si>
    <t>PIZARRAS Y ROTAFOLIOS</t>
  </si>
  <si>
    <t>1.2.5.01.09.01.1.</t>
  </si>
  <si>
    <t>1.2.5.01.09.01.1.99999</t>
  </si>
  <si>
    <t>VALORES DE ORIGEN - PIZARRAS Y ROTAFOLIOS</t>
  </si>
  <si>
    <t>1.2.5.01.09.01.3.</t>
  </si>
  <si>
    <t>1.2.5.01.09.01.3.99999</t>
  </si>
  <si>
    <t>DEPRECIACIONES ACUMULADAS * - PIZARRAS Y ROTAF</t>
  </si>
  <si>
    <t>1.2.5.01.09.04.</t>
  </si>
  <si>
    <t>ENCICLOPEDIAS</t>
  </si>
  <si>
    <t>1.2.5.01.09.04.1.</t>
  </si>
  <si>
    <t>1.2.5.01.09.04.1.99999</t>
  </si>
  <si>
    <t>VALOR DE ORIGEN - ENCICLOPEDIAS</t>
  </si>
  <si>
    <t>1.2.5.01.09.04.3.</t>
  </si>
  <si>
    <t>1.2.5.01.09.04.3.99999</t>
  </si>
  <si>
    <t>DEPRECIACIONES ACUMULADAS * - ENCICLOPEDIAS</t>
  </si>
  <si>
    <t>1.2.5.01.09.99.</t>
  </si>
  <si>
    <t>OTROS EQUIPOS EDUCACIONALES, DEPORTIVOS Y RECREATI</t>
  </si>
  <si>
    <t>1.2.5.01.09.99.1.</t>
  </si>
  <si>
    <t>1.2.5.01.09.99.1.99999</t>
  </si>
  <si>
    <t>VALORES DE ORIGEN-OTROS EQUIPOS EDUCACIONALES,</t>
  </si>
  <si>
    <t>1.2.5.01.09.99.3.</t>
  </si>
  <si>
    <t>1.2.5.01.09.99.3.99999</t>
  </si>
  <si>
    <t>DEPRECIACIONES ACUM.*-OTROS EQUIPOS EDUCACIONA</t>
  </si>
  <si>
    <t>EQUIPOS DE SEGURIDAD, ORDEN, VIGILANCIA Y CONTROL PÚBLICO</t>
  </si>
  <si>
    <t>1.2.5.01.10.01.</t>
  </si>
  <si>
    <t>EQUIPO DE PROTECCIÓN CONTRA INCENDIOS</t>
  </si>
  <si>
    <t>1.2.5.01.10.01.1.</t>
  </si>
  <si>
    <t>1.2.5.01.10.01.1.99999</t>
  </si>
  <si>
    <t>VALORES DE ORIGEN-EQUIPOS DE PROTECCIÓN CONTRA INCENDIOS</t>
  </si>
  <si>
    <t>1.2.5.01.10.01.3.</t>
  </si>
  <si>
    <t>1.2.5.01.10.01.3.99999</t>
  </si>
  <si>
    <t>DEPRECIACIONES ACUMULADAS *- EQUIPO DE PROTECCIÓN CONTRA INCENDIOS</t>
  </si>
  <si>
    <t>1.2.5.01.10.99.</t>
  </si>
  <si>
    <t>OTROS EQUIPOS DE SEGURIDAD, ORDEN, VIGILANCIA Y CONTROL PÚBLICO</t>
  </si>
  <si>
    <t>1.2.5.01.10.99.1.</t>
  </si>
  <si>
    <t>1.2.5.01.10.99.1.99999</t>
  </si>
  <si>
    <t>VALORES DE ORIGEN-OTROS EQUIPOS DE PROTECCIÓN</t>
  </si>
  <si>
    <t>1.2.5.01.10.99.3.</t>
  </si>
  <si>
    <t>1.2.5.01.10.99.3.99999</t>
  </si>
  <si>
    <t>DEPRECIACIONES ACUMULADAS *-OTROS EQUIPOS DE PROTECCIÓN</t>
  </si>
  <si>
    <t>MAQUINARIAS, EQUIPOS Y MOBILIARIOS DIVERSOS</t>
  </si>
  <si>
    <t>1.2.5.01.99.02.</t>
  </si>
  <si>
    <t>EQUIPOS Y MOBILIARIO DOMESTICO</t>
  </si>
  <si>
    <t>1.2.5.01.99.02.1.</t>
  </si>
  <si>
    <t>1.2.5.01.99.02.1.99999</t>
  </si>
  <si>
    <t>VALORES DE ORIGEN - EQUIPOS Y MOBILIARIO DOMES</t>
  </si>
  <si>
    <t>1.2.5.01.99.02.3.</t>
  </si>
  <si>
    <t>1.2.5.01.99.02.3.99999</t>
  </si>
  <si>
    <t>DEPRECIACIONES ACUMULADAS * - EQUIPOS Y MOBILI</t>
  </si>
  <si>
    <t>1.2.5.01.99.03.</t>
  </si>
  <si>
    <t>EQUIPOS FOTOGRAFICO Y REVELADO</t>
  </si>
  <si>
    <t>1.2.5.01.99.03.1.</t>
  </si>
  <si>
    <t>1.2.5.01.99.03.1.99999</t>
  </si>
  <si>
    <t>VALORES DE ORIGEN - EQUIPOS FOTOGRAFICO Y REVELADO</t>
  </si>
  <si>
    <t>1.2.5.01.99.03.3.</t>
  </si>
  <si>
    <t>1.2.5.01.99.03.3.99999</t>
  </si>
  <si>
    <t>DEPRECIACIONES ACUMULADAS * - EQUIPOS FOTOGRAFICO Y REVELADO</t>
  </si>
  <si>
    <t>1.2.5.01.99.99.</t>
  </si>
  <si>
    <t>OTRAS MAQUINARIAS, EQUIPOS Y MOBILIARIOS DIVERSOS</t>
  </si>
  <si>
    <t>1.2.5.01.99.99.1.</t>
  </si>
  <si>
    <t>1.2.5.01.99.99.1.99999</t>
  </si>
  <si>
    <t>VALORES DE ORIGEN - OTRAS MAQUINARIAS, EQUIPOS Y MOBILIARIOS DIVERSOS</t>
  </si>
  <si>
    <t>1.2.5.01.99.99.3.</t>
  </si>
  <si>
    <t>1.2.5.01.99.99.3.99999</t>
  </si>
  <si>
    <t>DEPRECIACIONES ACUMULADAS * - OTRAS MQUINARIAS, EQUIPOS Y MOBILIARIOS DIVERSOS</t>
  </si>
  <si>
    <t>BIENES INTANGIBLES NO CONCESIONADOS</t>
  </si>
  <si>
    <t>SOFTWARE Y PROGRAMAS</t>
  </si>
  <si>
    <t>1.2.5.08.01.01.</t>
  </si>
  <si>
    <t>PATENTES Y MARCAS REGISTRADAS</t>
  </si>
  <si>
    <t>1.2.5.08.01.01.0.</t>
  </si>
  <si>
    <t>1.2.5.08.01.01.0.99999</t>
  </si>
  <si>
    <t>VALORES DE ORIGEN  -  PATENTES Y MARCAS REGISTRADAS</t>
  </si>
  <si>
    <t>1.2.5.08.01.03.0.</t>
  </si>
  <si>
    <t>AMORTIZACIONES ACUMULADAS</t>
  </si>
  <si>
    <t>1.2.5.08.01.03.0.99999</t>
  </si>
  <si>
    <t>AMORTIZACIONES ACUMULADAS*  -  PATENTES Y MARCAS REGISTRADAS</t>
  </si>
  <si>
    <t>1.2.5.08.03.01.</t>
  </si>
  <si>
    <t>1.2.5.08.03.01.0.</t>
  </si>
  <si>
    <t>1.2.5.08.03.01.0.99999</t>
  </si>
  <si>
    <t>VALORES DE ORIGEN  -  SOFTWARE Y PROGRAMAS</t>
  </si>
  <si>
    <t>1.2.5.08.03.03.0.</t>
  </si>
  <si>
    <t>1.2.5.08.03.03.0.99999</t>
  </si>
  <si>
    <t>AMORTIZACIONES ACUMULADAS*  -  SOFTWARE Y PROGRAMAS</t>
  </si>
  <si>
    <t>1.2.5.08.99.01.</t>
  </si>
  <si>
    <t>Valores de origen</t>
  </si>
  <si>
    <t>1.2.5.08.99.01.0.</t>
  </si>
  <si>
    <t>1.2.5.08.99.01.0.16151</t>
  </si>
  <si>
    <t>ICE</t>
  </si>
  <si>
    <t>1.2.5.08.99.01.0.16180</t>
  </si>
  <si>
    <t>RACSA</t>
  </si>
  <si>
    <t>INVERSIONES PATRIMONIALES - MÉTODO DE PARTICIPACIÓN</t>
  </si>
  <si>
    <t>INVERSIONES PATRIMONIALES EN FIDEICOMISOS</t>
  </si>
  <si>
    <t>1.2.7.04.03.</t>
  </si>
  <si>
    <t>INVERSIONES PATRIMONIALES EN FIDEICOMISOS PARA EDUCACIÓN L/P</t>
  </si>
  <si>
    <t>1.2.7.04.03.00.</t>
  </si>
  <si>
    <t>1.2.7.04.03.00.0.</t>
  </si>
  <si>
    <t>1.2.7.04.03.00.0.21100</t>
  </si>
  <si>
    <t>JUNTA BANCO CRÉDITO AGRICOLA DE CARTAGO</t>
  </si>
  <si>
    <t>OTROS ACTIVOS A LARGO PLAZO</t>
  </si>
  <si>
    <t>ACTIVOS A LARGO PLAZO SUJETOS A DEPURACION CONTABLE</t>
  </si>
  <si>
    <t>1.2.9.99.05.</t>
  </si>
  <si>
    <t>BIENES NO CONCESIONADOS SUJETOS A DEPURACION</t>
  </si>
  <si>
    <t>1.2.9.99.05.08.</t>
  </si>
  <si>
    <t>BIENES INTANGIBLES SUJETOS A DEPURACION</t>
  </si>
  <si>
    <t>1.2.9.99.05.08.0.</t>
  </si>
  <si>
    <t>1.2.9.99.05.08.0.99999</t>
  </si>
  <si>
    <t>PASIVO CORRIENTE</t>
  </si>
  <si>
    <t>DEUDAS A CORTO PLAZO</t>
  </si>
  <si>
    <t>DEUDAS COMERCIALES A CORTO PLAZO</t>
  </si>
  <si>
    <t>2.1.1.01.01.</t>
  </si>
  <si>
    <t>DEUDAS POR ADQUISICION DE INVENTARIOS C/P</t>
  </si>
  <si>
    <t>2.1.1.01.01.01.</t>
  </si>
  <si>
    <t>DEUDAS COMERC.POR ADQ.DE MAT.Y SUMIN.P/CONSUMO Y P</t>
  </si>
  <si>
    <t>2.1.1.01.01.01.0.</t>
  </si>
  <si>
    <t>DEUDAS COMERC.POR ADQ.DE MAT.Y SUMIN.P/CONSUMO Y</t>
  </si>
  <si>
    <t>2.1.1.01.01.01.0.99999</t>
  </si>
  <si>
    <t>DEUDAS COMERC.POR ADQ.DE MAT.Y SUMIN.P/CONSUMO</t>
  </si>
  <si>
    <t>DEUDAS SOCIALES Y FISCALES A CORTO PLAZO</t>
  </si>
  <si>
    <t>2.1.1.02.01.</t>
  </si>
  <si>
    <t>DEUDAS POR BENEFICIOS A LOS EMPLEADOS C/P</t>
  </si>
  <si>
    <t>2.1.1.02.01.01.</t>
  </si>
  <si>
    <t>REMUNERACIONES BASICAS Y EVENTUALES A PAGAR C/P</t>
  </si>
  <si>
    <t>2.1.1.02.01.01.1.</t>
  </si>
  <si>
    <t>2.1.1.02.01.01.1.99999</t>
  </si>
  <si>
    <t>PLANILLA EMPLEADOS REMUNERACIONES NETAS</t>
  </si>
  <si>
    <t>2.1.1.02.01.01.6.</t>
  </si>
  <si>
    <t>SALARIO ESCOLAR A PAGAR C/P</t>
  </si>
  <si>
    <t>2.1.1.02.01.01.6.99999</t>
  </si>
  <si>
    <t>2.1.1.02.01.03.</t>
  </si>
  <si>
    <t>INCENTIVOS SALARIALES A PAGAR</t>
  </si>
  <si>
    <t>2.1.1.02.01.03.3.</t>
  </si>
  <si>
    <t>DECIMO TERCER MES A PAGAR C/P</t>
  </si>
  <si>
    <t>2.1.1.02.01.03.3.99999</t>
  </si>
  <si>
    <t>2.1.1.02.01.04.</t>
  </si>
  <si>
    <t>CONTRIBUCIONES PATRONALES AL DESARROLLO Y SEG.SOCI</t>
  </si>
  <si>
    <t>2.1.1.02.01.04.0.</t>
  </si>
  <si>
    <t>CONTRIBUCIONES PATRONALES AL DESARROLLO Y SEG.SO</t>
  </si>
  <si>
    <t>2.1.1.02.01.04.0.14120</t>
  </si>
  <si>
    <t>CAJA COSTARRICENSE DEL SEGURO SOCIAL (CCSS)</t>
  </si>
  <si>
    <t>2.1.1.02.01.05.</t>
  </si>
  <si>
    <t>CONTRIBUCIONES PAT.A FONDOS DE PENS.Y OTROS FOND.D</t>
  </si>
  <si>
    <t>2.1.1.02.01.05.0.</t>
  </si>
  <si>
    <t>CONTRIBUCIONES PAT.A FONDOS DE PENS.Y OTROS FOND</t>
  </si>
  <si>
    <t>2.1.1.02.01.05.0.14120</t>
  </si>
  <si>
    <t>CAJA COSTARRICENSE DEL SEGURO SOCIAL</t>
  </si>
  <si>
    <t>2.1.1.02.01.05.0.99999</t>
  </si>
  <si>
    <t>APORTE PATRONAL A FONDOS ADMINISTRADOS POR ENT (ASECONI)</t>
  </si>
  <si>
    <t>2.1.1.02.01.06.</t>
  </si>
  <si>
    <t>RETENCIONES AL PERSONAL A PAGAR  C/P</t>
  </si>
  <si>
    <t>2.1.1.02.01.06.0.</t>
  </si>
  <si>
    <t>2.1.1.02.01.06.0.14120</t>
  </si>
  <si>
    <t>2.1.1.02.01.06.0.99999</t>
  </si>
  <si>
    <t>COLEGIOS PROFESIONALES Y OTROS</t>
  </si>
  <si>
    <t>2.1.1.02.02.</t>
  </si>
  <si>
    <t>DEUDAS FISCALES C/P</t>
  </si>
  <si>
    <t>2.1.1.02.02.02.</t>
  </si>
  <si>
    <t>RETENCIONES DE IMPUESTOS NACIONALES A PAGAR C/P</t>
  </si>
  <si>
    <t>2.1.1.02.02.02.0.</t>
  </si>
  <si>
    <t>2.1.1.02.02.02.0.11206</t>
  </si>
  <si>
    <t>MINISTERIO DE HACIENDA (MHD)</t>
  </si>
  <si>
    <t>TRANSFERENCIAS A PAGAR A CORTO PLAZO</t>
  </si>
  <si>
    <t>2.1.1.03.01.</t>
  </si>
  <si>
    <t>TRANSFERENCIAS AL SECTOR PRIVADO INTERNO A PAGAR C/P</t>
  </si>
  <si>
    <t>2.1.1.03.01.01.</t>
  </si>
  <si>
    <t>TRANSFERENCIAS A PERSONAS A PAGAR C/P</t>
  </si>
  <si>
    <t>2.1.1.03.01.01.9.</t>
  </si>
  <si>
    <t>OTRAS TRANSFERENCIAS A PERSONAS A PAGAR C/P</t>
  </si>
  <si>
    <t>2.1.1.03.01.01.9.99999</t>
  </si>
  <si>
    <t>FONDOS DE TERCEROS Y EN GARANTIA</t>
  </si>
  <si>
    <t>DEPOSITOS EN GARANTIA</t>
  </si>
  <si>
    <t>2.1.3.03.01.</t>
  </si>
  <si>
    <t>DEPOSITOS EN GARANTIA DEL SECTOR PRIVADO INTERNO</t>
  </si>
  <si>
    <t>2.1.3.03.01.02.</t>
  </si>
  <si>
    <t>DEPOSITOS EN GARANTIA DE EMPRESAS PRIVADAS</t>
  </si>
  <si>
    <t>2.1.3.03.01.02.0.</t>
  </si>
  <si>
    <t>2.1.3.03.01.02.0.99999</t>
  </si>
  <si>
    <t>OTROS FONDOS DE TERCEEROS</t>
  </si>
  <si>
    <t>2.1.3.99.02.</t>
  </si>
  <si>
    <t>OTROS FONDOS DEL SECTOR PUBLICO INTERNO</t>
  </si>
  <si>
    <t>2.1.3.99.02.01.</t>
  </si>
  <si>
    <t>OTROS FONDOS DEL GOBIERNO CENTRAL</t>
  </si>
  <si>
    <t>2.1.3.99.02.01.0.</t>
  </si>
  <si>
    <t>OTROS FONDOS DEL GOBIERNO CENTRAL MONEDA NACIONAL</t>
  </si>
  <si>
    <t>2.1.3.99.02.01.0.99999</t>
  </si>
  <si>
    <t>GOBIERNO CENTRAL LEY 8262 FIDEICOMISO 25-02</t>
  </si>
  <si>
    <t>OTROS PASIVOS A CORTO PLAZO</t>
  </si>
  <si>
    <t>INGRESOS A DEVENGAR A CORTO PLAZO</t>
  </si>
  <si>
    <t>2.1.9.01.99.</t>
  </si>
  <si>
    <t>OTROS INGRESOS A DEVENGAR A C/P</t>
  </si>
  <si>
    <t>2.1.9.01.99.99.</t>
  </si>
  <si>
    <t>2.1.9.01.99.99.0.</t>
  </si>
  <si>
    <t>2.1.9.01.99.99.0.11206</t>
  </si>
  <si>
    <t>PASIVOS A CORTO PLAZO SUJETOS A DEPURACION CONTABLE</t>
  </si>
  <si>
    <t>2.1.9.99.01.</t>
  </si>
  <si>
    <t>DEUDAS A CORTO PLAZO SUJETAS A DEPURACION</t>
  </si>
  <si>
    <t>2.1.9.99.01.02.</t>
  </si>
  <si>
    <t>DEUDAS SOCIALES Y FISCALES A CORTO PLAZO SUJETAS A DEPURACION</t>
  </si>
  <si>
    <t>2.1.9.99.01.02.0.</t>
  </si>
  <si>
    <t>2.1.9.99.01.02.0.14120</t>
  </si>
  <si>
    <t>PATRIMONIO PUBLICO</t>
  </si>
  <si>
    <t>CAPITAL</t>
  </si>
  <si>
    <t>CAPITAL INICIAL</t>
  </si>
  <si>
    <t>3.1.1.01.01.</t>
  </si>
  <si>
    <t>CAPITAL INICIAL A VALORES HISTÓRICOS</t>
  </si>
  <si>
    <t>3.1.1.01.01.00.</t>
  </si>
  <si>
    <t>3.1.1.01.01.00.0.</t>
  </si>
  <si>
    <t>3.1.1.01.01.00.0.99999</t>
  </si>
  <si>
    <t>3.1.1.01.02.</t>
  </si>
  <si>
    <t>AJUSTE POR REEXPRESIÓN DEL CAPITAL INICIAL</t>
  </si>
  <si>
    <t>3.1.1.01.02.00.</t>
  </si>
  <si>
    <t>3.1.1.01.02.00.0.</t>
  </si>
  <si>
    <t>3.1.1.01.02.00.0.99999</t>
  </si>
  <si>
    <t>UTILIDAD ACUMULADA DEL PERIODO</t>
  </si>
  <si>
    <t>INCORPORACIONES AL CAPITAL</t>
  </si>
  <si>
    <t>3.1.1.02.01.</t>
  </si>
  <si>
    <t>INCORPORACIONES AL CAPITAL A VALORES HISTORICOS</t>
  </si>
  <si>
    <t>3.1.1.02.01.00.</t>
  </si>
  <si>
    <t>3.1.1.02.01.00.0.</t>
  </si>
  <si>
    <t>3.1.1.02.01.00.0.99999</t>
  </si>
  <si>
    <t>RESERVAS</t>
  </si>
  <si>
    <t>REVALUACION DE BIENES</t>
  </si>
  <si>
    <t>3.1.3.01.01.</t>
  </si>
  <si>
    <t>REVALUACION DE PROPIEDADES, PLANTA Y EQUIPOS</t>
  </si>
  <si>
    <t>3.1.3.01.01.00.</t>
  </si>
  <si>
    <t>3.1.3.01.01.00.0.</t>
  </si>
  <si>
    <t>3.1.3.01.01.00.0.99999</t>
  </si>
  <si>
    <t>RESULTADOS ACUMULADOS</t>
  </si>
  <si>
    <t>RESULTADOS ACUMULADOS DE EJERCICIOS ANTERIORES</t>
  </si>
  <si>
    <t>3.1.5.01.01.</t>
  </si>
  <si>
    <t>RESULTADOS DE EJERCICIOS ANTERIORES</t>
  </si>
  <si>
    <t>3.1.5.01.01.00.</t>
  </si>
  <si>
    <t>3.1.5.01.01.00.0.</t>
  </si>
  <si>
    <t>3.1.5.01.01.00.0.99999</t>
  </si>
  <si>
    <t>3.1.5.01.02.</t>
  </si>
  <si>
    <t>AJUSTE DE RESULTADOS DE PERIODOS ANTERIORES</t>
  </si>
  <si>
    <t>3.1.5.01.02.04.</t>
  </si>
  <si>
    <t>AJUSTES POR OTRAS RESERVAS</t>
  </si>
  <si>
    <t>3.1.5.01.02.04.1.</t>
  </si>
  <si>
    <t>AJUSTES POR CORRECCIONES DE ERRORES REALIZADAS RETROACTIVAMENTE</t>
  </si>
  <si>
    <t>3.1.5.01.02.04.1.99999</t>
  </si>
  <si>
    <t>RESULTADOS DEL EJERCICIO</t>
  </si>
  <si>
    <t>3.1.5.02.01.</t>
  </si>
  <si>
    <t>CIERRE CUENTAS DE INGRESOS</t>
  </si>
  <si>
    <t>3.1.5.02.01.00.</t>
  </si>
  <si>
    <t>3.1.5.02.01.00.0.</t>
  </si>
  <si>
    <t>3.1.5.02.01.00.0.99999</t>
  </si>
  <si>
    <t>3.1.5.02.02.</t>
  </si>
  <si>
    <t>CIERRE CUENTAS DE GASTOS</t>
  </si>
  <si>
    <t>3.1.5.02.02.00.</t>
  </si>
  <si>
    <t>3.1.5.02.02.00.0.</t>
  </si>
  <si>
    <t>3.1.5.02.02.00.0.99999</t>
  </si>
  <si>
    <t>MULTAS, SANCIONES, REMATES Y CONFISCACIONES DE ORIGEN NO TRIBUTARIO</t>
  </si>
  <si>
    <t>SANCIONES ADMINISTRATIVAS</t>
  </si>
  <si>
    <t>4.3.1.03.00.</t>
  </si>
  <si>
    <t>4.3.1.03.00.00.</t>
  </si>
  <si>
    <t>4.3.1.03.00.00.0.</t>
  </si>
  <si>
    <t>4.3.1.03.00.00.0.99999</t>
  </si>
  <si>
    <t>INGRESOS Y RESULTADOS POSITIVOS POR VENTAS</t>
  </si>
  <si>
    <t>VENTAS DE BIENES Y SERVICIOS</t>
  </si>
  <si>
    <t>VENTAS DE SERVICIOS</t>
  </si>
  <si>
    <t>4.4.1.02.99.</t>
  </si>
  <si>
    <t>OTRAS VENTAS DE SERVICIOS</t>
  </si>
  <si>
    <t>4.4.1.02.99.99.</t>
  </si>
  <si>
    <t>4.4.1.02.99.99.0.</t>
  </si>
  <si>
    <t>OTRAS VENTAS DE SERVICIOS VARIOS.</t>
  </si>
  <si>
    <t>4.4.1.02.99.99.0.99999</t>
  </si>
  <si>
    <t>INGRESOS DE LA PROPIEDAD</t>
  </si>
  <si>
    <t>RENTA DE INVERSIONES Y COLOCACIÓN DE EFECTIVO</t>
  </si>
  <si>
    <t>INTERESES POR EQUIVALENTES DE EFECTIVO</t>
  </si>
  <si>
    <t>4.5.1.01.02.</t>
  </si>
  <si>
    <t>INTERESES POR OTROS EQUIVALENTES DE EFECTIVO</t>
  </si>
  <si>
    <t>4.5.1.01.02.02.</t>
  </si>
  <si>
    <t>INTERESES POR OTROS EQUIVALENTES DE EFECTIVO EN EL SECTOR PUBLICO INTERNO</t>
  </si>
  <si>
    <t>4.5.1.01.02.02.0.</t>
  </si>
  <si>
    <t>4.5.1.01.02.02.0.99999</t>
  </si>
  <si>
    <t>TRANSFERENCIAS</t>
  </si>
  <si>
    <t>TRANSFERENCIAS CORRIENTES DEL SECTOR PUBLICO INTERNO</t>
  </si>
  <si>
    <t>4.6.1.02.01.</t>
  </si>
  <si>
    <t>TRANSFERENCIAS CORRIENTES DEL GOBIENO CENTRAL</t>
  </si>
  <si>
    <t>4.6.1.02.01.06.</t>
  </si>
  <si>
    <t>4.6.1.02.01.06.0.</t>
  </si>
  <si>
    <t>4.6.1.02.02.06.0.11206</t>
  </si>
  <si>
    <t>4.6.1.02.06.</t>
  </si>
  <si>
    <t>TRANSFERENCIAS CORRIENTES DE INSTITUCIONES PUBLICAS FINANCIERAS</t>
  </si>
  <si>
    <t>4.6.1.02.06.06.</t>
  </si>
  <si>
    <t>4.6.1.02.06.06.0.</t>
  </si>
  <si>
    <t>4.6.1.02.06.06.0.21101</t>
  </si>
  <si>
    <t>BANCO DE COSTA RICA (BCR) COMISION 3% PROPYME LEY NO. 8262</t>
  </si>
  <si>
    <t>OTROS INGRESOS</t>
  </si>
  <si>
    <t>RESULTADOS POSITIVOS POR TENENCIA Y POR EXPOSICION A LA</t>
  </si>
  <si>
    <t>DIFERENCIAS DE CAMBIO POSITIVAS POR ACTIVOS</t>
  </si>
  <si>
    <t>4.9.1.01.01.</t>
  </si>
  <si>
    <t>DIFERENCIAS DE CAMBIO POSITIVAS POR EFECTIVO</t>
  </si>
  <si>
    <t>4.9.1.01.01.01.</t>
  </si>
  <si>
    <t>DIFERENCIAS DE CAMBIO POSITIVAS POR EFECTIVO EN CA</t>
  </si>
  <si>
    <t>4.9.1.01.01.01.2.</t>
  </si>
  <si>
    <t>DIFERENCIAS DE CAMBIO POSITIVAS POR EFECTIVO EN</t>
  </si>
  <si>
    <t>4.9.1.01.01.01.2.99999</t>
  </si>
  <si>
    <t>DIFERENCIAS DE CAMBIO POSITIVAS POR EFECTIVO E</t>
  </si>
  <si>
    <t>RECUPERACIÓN DE PREVISIONES</t>
  </si>
  <si>
    <t>RECUPERACIÓN DE PREVISIONES PARA DETERIORO DE CUENTAS A COBRAR</t>
  </si>
  <si>
    <t>4.9.4.02.08.</t>
  </si>
  <si>
    <t>RECUPERACIÓN DE PREVISIONES PARA DOCUMENTOS A COBRAR</t>
  </si>
  <si>
    <t>4.9.4.02.08.00.</t>
  </si>
  <si>
    <t>4.9.4.02.08.00.0.</t>
  </si>
  <si>
    <t>4.9.4.02.08.00.0.99999</t>
  </si>
  <si>
    <t>RESULTADOS POSITIVOS DE INVERSIONES PATRIMONIALES Y PARTICIPACIÓN DE LOS INTERESES MINORITARIOS</t>
  </si>
  <si>
    <t>RESULTADOS POSITIVOS DE INVERSIONES PATRIMONIALES</t>
  </si>
  <si>
    <t>4.9.6.01.04.</t>
  </si>
  <si>
    <t>RESULTADOS POSITIVOS DE INVERSIONES PATRIMONIALES EN FIDEICOMISOS</t>
  </si>
  <si>
    <t>4.9.6.01.04.03.</t>
  </si>
  <si>
    <t>RESULTADOS POSITIVOS DE INVERSIONES PATRIMONIALES EN FIDEICOMISOS PARA EDUCACIÓN</t>
  </si>
  <si>
    <t>4.9.6.01.04.03.0.</t>
  </si>
  <si>
    <t>4.9.6.01.04.03.0.99999</t>
  </si>
  <si>
    <t>OTROS INGRESOS Y RESULTADOS POSITIVOS</t>
  </si>
  <si>
    <t>INGRESOS Y RESULTADOS POSITIVOS VARIOS</t>
  </si>
  <si>
    <t>4.9.9.99.99.</t>
  </si>
  <si>
    <t>OTROS RESULTADOS POSITIVOS</t>
  </si>
  <si>
    <t>4.9.9.99.99.00.</t>
  </si>
  <si>
    <t>4.9.9.99.99.00.0.</t>
  </si>
  <si>
    <t>4.9.9.99.99.00.0.99999</t>
  </si>
  <si>
    <t>GASTOS DE FUNCIONAMIENTO</t>
  </si>
  <si>
    <t>GASTOS EN PERSONAL</t>
  </si>
  <si>
    <t>REMUNERACIONES BASICAS</t>
  </si>
  <si>
    <t>5.1.1.01.01.</t>
  </si>
  <si>
    <t>5.1.1.01.01.00.</t>
  </si>
  <si>
    <t>5.1.1.01.01.00.0.</t>
  </si>
  <si>
    <t>5.1.1.01.01.00.0.99999</t>
  </si>
  <si>
    <t>5.1.1.01.05.</t>
  </si>
  <si>
    <t>SUPLENCIAS</t>
  </si>
  <si>
    <t>5.1.1.01.05.00.</t>
  </si>
  <si>
    <t>5.1.1.01.05.00.0.</t>
  </si>
  <si>
    <t>5.1.1.01.05.00.0.99999</t>
  </si>
  <si>
    <t>5.1.1.01.06.</t>
  </si>
  <si>
    <t>SALARIO ESCOLAR</t>
  </si>
  <si>
    <t>5.1.1.01.06.00.</t>
  </si>
  <si>
    <t>5.1.1.01.06.00.0.</t>
  </si>
  <si>
    <t>5.1.1.01.06.00.0.99999</t>
  </si>
  <si>
    <t>5.1.1.01.99.</t>
  </si>
  <si>
    <t>OTRAS REMUNERACIONES BASICAS</t>
  </si>
  <si>
    <t>5.1.1.01.99.00.</t>
  </si>
  <si>
    <t>5.1.1.01.99.00.0.</t>
  </si>
  <si>
    <t>5.1.1.01.99.00.0.99999</t>
  </si>
  <si>
    <t>REMUNERACIONES EVENTUALES</t>
  </si>
  <si>
    <t>5.1.1.02.01.</t>
  </si>
  <si>
    <t>TIEMPO EXTRAORDINARIO</t>
  </si>
  <si>
    <t>5.1.1.02.01.00.</t>
  </si>
  <si>
    <t>5.1.1.02.01.00.0.</t>
  </si>
  <si>
    <t>5.1.1.02.01.00.0.99999</t>
  </si>
  <si>
    <t>5.1.1.02.04.</t>
  </si>
  <si>
    <t>COMPENSACION DE VACACIONES</t>
  </si>
  <si>
    <t>5.1.1.02.04.00.</t>
  </si>
  <si>
    <t>5.1.1.02.04.00.0.</t>
  </si>
  <si>
    <t>5.1.1.02.04.00.0.99999</t>
  </si>
  <si>
    <t>5.1.1.02.05.</t>
  </si>
  <si>
    <t>DIETAS</t>
  </si>
  <si>
    <t>5.1.1.02.05.00.</t>
  </si>
  <si>
    <t>5.1.1.02.05.00.0.</t>
  </si>
  <si>
    <t>5.1.1.02.05.00.0.99999</t>
  </si>
  <si>
    <t>INCENTIVOS SALARIALES</t>
  </si>
  <si>
    <t>5.1.1.03.01.</t>
  </si>
  <si>
    <t>RETRIBUCION POR AÑOS SERVIDOS</t>
  </si>
  <si>
    <t>5.1.1.03.01.00.</t>
  </si>
  <si>
    <t>5.1.1.03.01.00.0.</t>
  </si>
  <si>
    <t>5.1.1.03.01.00.0.99999</t>
  </si>
  <si>
    <t>5.1.1.03.02.</t>
  </si>
  <si>
    <t>RESTRICCION AL EJERCICIO LIBERAL DE LA PROFESION</t>
  </si>
  <si>
    <t>5.1.1.03.02.01.</t>
  </si>
  <si>
    <t>5.1.1.03.02.01.0.</t>
  </si>
  <si>
    <t>5.1.1.03.02.01.0.99999</t>
  </si>
  <si>
    <t>5.1.1.03.03.</t>
  </si>
  <si>
    <t>DECIMOTERCER MES</t>
  </si>
  <si>
    <t>5.1.1.03.03.00.</t>
  </si>
  <si>
    <t>5.1.1.03.03.00.0.</t>
  </si>
  <si>
    <t>5.1.1.03.03.00.0.99999</t>
  </si>
  <si>
    <t>5.1.1.03.99.</t>
  </si>
  <si>
    <t>OTROS INCENTIVOS SALARIALES</t>
  </si>
  <si>
    <t>5.1.1.03.99.01.</t>
  </si>
  <si>
    <t>RECONOCIMIENTO CARRERA PROFESIONAL</t>
  </si>
  <si>
    <t>5.1.1.03.99.01.0.</t>
  </si>
  <si>
    <t>5.1.1.03.99.01.0.99999</t>
  </si>
  <si>
    <t>5.1.1.03.99.02.</t>
  </si>
  <si>
    <t>COMPLEMENTO SALARIAL</t>
  </si>
  <si>
    <t>5.1.1.03.99.02.0.</t>
  </si>
  <si>
    <t>5.1.1.03.99.02.0.99999</t>
  </si>
  <si>
    <t>CONTRIBUCIONES PATRONALES AL DESARROLLO Y LA SEGURIDAD</t>
  </si>
  <si>
    <t>5.1.1.04.01.</t>
  </si>
  <si>
    <t>CONTRIBUCION PATRONAL AL SEG.DE SALUD DE LA CAJA COS</t>
  </si>
  <si>
    <t>5.1.1.04.01.00.</t>
  </si>
  <si>
    <t>CONTRIBUCION PATRONAL AL SEG.DE SALUD DE LA CAJA C</t>
  </si>
  <si>
    <t>5.1.1.04.01.00.0.</t>
  </si>
  <si>
    <t>CONTRIBUCION PATRONAL AL SEG.DE SALUD DE LA CAJA</t>
  </si>
  <si>
    <t>5.1.1.04.01.00.0.99999</t>
  </si>
  <si>
    <t>CONTRIBUCION PATRONAL AL SEG.DE SALUD DE LA CA</t>
  </si>
  <si>
    <t>5.1.1.04.03.</t>
  </si>
  <si>
    <t>CONTRIBUCION PATRONAL AL INSTITUTO NACIONAL DE APREN</t>
  </si>
  <si>
    <t>5.1.1.04.03.00.</t>
  </si>
  <si>
    <t>CONTRIBUCION PATRONAL AL INSTITUTO NACIONAL DE APR</t>
  </si>
  <si>
    <t>5.1.1.04.03.00.0.</t>
  </si>
  <si>
    <t>CONTRIBUCION PATRONAL AL INSTITUTO NACIONAL DE A</t>
  </si>
  <si>
    <t>5.1.1.04.03.00.0.99999</t>
  </si>
  <si>
    <t>CONTRIBUCION PATRONAL AL INSTITUTO NACIONAL DE</t>
  </si>
  <si>
    <t>5.1.1.04.05.</t>
  </si>
  <si>
    <t>CONTRIBUCION PATRONAL AL BANCO POPULAR Y DE DESARROL</t>
  </si>
  <si>
    <t>5.1.1.04.05.00.</t>
  </si>
  <si>
    <t>CONTRIBUCION PATRONAL AL BANCO POPULAR Y DE DESARR</t>
  </si>
  <si>
    <t>5.1.1.04.05.00.0.</t>
  </si>
  <si>
    <t>CONTRIBUCION PATRONAL AL BANCO POPULAR Y DE DESA</t>
  </si>
  <si>
    <t>5.1.1.04.05.00.0.99999</t>
  </si>
  <si>
    <t>CONTRIBUCION PATRONAL AL BANCO POPULAR Y DE DE</t>
  </si>
  <si>
    <t>5.1.1.04.99.</t>
  </si>
  <si>
    <t>OTRAS CONTRIBUCIONES PATRONALES AL DESARROLLO Y LA SEGURIDAD SOCIAL</t>
  </si>
  <si>
    <t>5.1.1.04.99.00.</t>
  </si>
  <si>
    <t>5.1.1.04.99.00.0.</t>
  </si>
  <si>
    <t>5.1.1.04.99.00.0.99999</t>
  </si>
  <si>
    <t>CONTRIBUCIONES PATR.A FONDOS DE PENS.Y A OTROS FONDOS</t>
  </si>
  <si>
    <t>5.1.1.05.02.</t>
  </si>
  <si>
    <t>APORTE PATRONAL AL REGIMEN OBLIGATORIO DE PENSIONES</t>
  </si>
  <si>
    <t>5.1.1.05.02.00.</t>
  </si>
  <si>
    <t>5.1.1.05.02.00.0.</t>
  </si>
  <si>
    <t>5.1.1.05.02.00.0.99999</t>
  </si>
  <si>
    <t>5.1.1.05.03.</t>
  </si>
  <si>
    <t>APORTE PATRONAL AL FONDO DE CAPITALIZACION LABORAL</t>
  </si>
  <si>
    <t>5.1.1.05.03.00.</t>
  </si>
  <si>
    <t>5.1.1.05.03.00.0.</t>
  </si>
  <si>
    <t>APORTE PATRONAL AL FONDO DE CAPITALIZACION LABOR</t>
  </si>
  <si>
    <t>5.1.1.05.03.00.0.99999</t>
  </si>
  <si>
    <t>APORTE PATRONAL AL FONDO DE CAPITALIZACION LAB</t>
  </si>
  <si>
    <t>5.1.1.05.05.</t>
  </si>
  <si>
    <t>CONTRIBUCION PATRONAL A OTROS FONDOS ADMINISTRADOS POR ENTES PRIVADOS</t>
  </si>
  <si>
    <t>5.1.1.05.05.00.</t>
  </si>
  <si>
    <t>5.1.1.05.05.00.0.99999</t>
  </si>
  <si>
    <t>ASISTENCIA SOCIAL Y BENEFICIOS AL PERSONAL</t>
  </si>
  <si>
    <t>5.1.1.06.08.</t>
  </si>
  <si>
    <t>INDEMNIZACIONES AL PERSONAL</t>
  </si>
  <si>
    <t>5.1.1.06.08.00.</t>
  </si>
  <si>
    <t>5.1.1.06.08.00.0.</t>
  </si>
  <si>
    <t>5.1.1.06.08.00.0.99999</t>
  </si>
  <si>
    <t>SERVICIOS</t>
  </si>
  <si>
    <t>ALQUILERES Y DERECHOS SOBRE BIENES</t>
  </si>
  <si>
    <t>5.1.2.01.99.</t>
  </si>
  <si>
    <t>OTROS ALQUILERES</t>
  </si>
  <si>
    <t>5.1.2.01.99.00.</t>
  </si>
  <si>
    <t>5.1.2.01.99.00.0.</t>
  </si>
  <si>
    <t>5.1.2.01.99.00.0.99999</t>
  </si>
  <si>
    <t>SERVICIOS BASICOS</t>
  </si>
  <si>
    <t>5.1.2.02.01.</t>
  </si>
  <si>
    <t>AGUA Y ALCANTARILLADO</t>
  </si>
  <si>
    <t>5.1.2.02.01.00.</t>
  </si>
  <si>
    <t>5.1.2.02.01.00.0.</t>
  </si>
  <si>
    <t>5.1.2.02.01.00.0.99999</t>
  </si>
  <si>
    <t>5.1.2.02.02.</t>
  </si>
  <si>
    <t>ENERGIA ELECTRICA</t>
  </si>
  <si>
    <t>5.1.2.02.02.00.</t>
  </si>
  <si>
    <t>5.1.2.02.02.00.0.</t>
  </si>
  <si>
    <t>5.1.2.02.02.00.0.99999</t>
  </si>
  <si>
    <t>5.1.2.02.03.</t>
  </si>
  <si>
    <t>CORREOS</t>
  </si>
  <si>
    <t>5.1.2.02.03.00.</t>
  </si>
  <si>
    <t>5.1.2.02.03.00.0.</t>
  </si>
  <si>
    <t>5.1.2.02.03.00.0.99999</t>
  </si>
  <si>
    <t>5.1.2.02.04.</t>
  </si>
  <si>
    <t>SERVICIOS DE TELECOMUNICACIONES</t>
  </si>
  <si>
    <t>5.1.2.02.04.00.</t>
  </si>
  <si>
    <t>5.1.2.02.04.00.0.</t>
  </si>
  <si>
    <t>5.1.2.02.04.00.0.99999</t>
  </si>
  <si>
    <t>5.1.2.02.99.</t>
  </si>
  <si>
    <t>OTROS SERVICIOS BASICOS</t>
  </si>
  <si>
    <t>5.1.2.02.99.00.</t>
  </si>
  <si>
    <t>5.1.2.02.99.00.0.</t>
  </si>
  <si>
    <t>5.1.2.02.99.00.0.99999</t>
  </si>
  <si>
    <t>SERVICIOS COMERCIALES Y FINANCIEROS</t>
  </si>
  <si>
    <t>5.1.2.03.01.</t>
  </si>
  <si>
    <t>SERVICIOS DE INFORMACION</t>
  </si>
  <si>
    <t>5.1.2.03.01.00.</t>
  </si>
  <si>
    <t>5.1.2.03.01.00.0.</t>
  </si>
  <si>
    <t>5.1.2.03.01.00.0.99999</t>
  </si>
  <si>
    <t>5.1.2.03.02.</t>
  </si>
  <si>
    <t>PUBLICIDAD Y PROPAGANDA</t>
  </si>
  <si>
    <t>5.1.2.03.02.00.</t>
  </si>
  <si>
    <t>5.1.2.03.02.00.0.</t>
  </si>
  <si>
    <t>5.1.2.03.02.00.0.99999</t>
  </si>
  <si>
    <t>5.1.2.03.03.</t>
  </si>
  <si>
    <t>IMPRESION, ENCUADERNACION Y OTROS</t>
  </si>
  <si>
    <t>5.1.2.03.03.00.</t>
  </si>
  <si>
    <t>5.1.2.03.03.00.0.</t>
  </si>
  <si>
    <t>5.1.2.03.03.00.0.99999</t>
  </si>
  <si>
    <t>5.1.2.03.06.</t>
  </si>
  <si>
    <t>COMISIONES Y GASTOS POR SERVICIOS FINANCIEROS Y COMERCIALES</t>
  </si>
  <si>
    <t>5.1.2.03.06.00.</t>
  </si>
  <si>
    <t>5.1.2.03.06.00.0.</t>
  </si>
  <si>
    <t>5.1.2.03.06.00.0.99999</t>
  </si>
  <si>
    <t>5.1.2.03.07.</t>
  </si>
  <si>
    <t>SERVICIOS DE TRANSFERENCIA ELECTRONICA DE INFORMACION</t>
  </si>
  <si>
    <t>5.1.2.03.07.00.</t>
  </si>
  <si>
    <t>5.1.2.03.07.00.0.</t>
  </si>
  <si>
    <t>5.1.2.03.07.00.0.99999</t>
  </si>
  <si>
    <t>SERVICIOS DE GESTION Y APOYO</t>
  </si>
  <si>
    <t>5.1.2.04.01.</t>
  </si>
  <si>
    <t>SERVICIOS MEDICOS Y DE LABORATORIO</t>
  </si>
  <si>
    <t>5.1.2.04.01.00.</t>
  </si>
  <si>
    <t>5.1.2.04.01.00.0.</t>
  </si>
  <si>
    <t>5.1.2.04.01.00.0.99999</t>
  </si>
  <si>
    <t>5.1.2.04.04.</t>
  </si>
  <si>
    <t>SERVICIOS EN CIENCIAS ECONOMICAS Y SOCIALES</t>
  </si>
  <si>
    <t>5.1.2.04.04.00.</t>
  </si>
  <si>
    <t>5.1.2.04.04.00.0.</t>
  </si>
  <si>
    <t>5.1.2.04.04.00.0.99999</t>
  </si>
  <si>
    <t>5.1.2.04.06.</t>
  </si>
  <si>
    <t>SERVICIOS GENERALES</t>
  </si>
  <si>
    <t>5.1.2.04.06.00.</t>
  </si>
  <si>
    <t>5.1.2.04.06.00.0.</t>
  </si>
  <si>
    <t>5.1.2.04.06.00.0.99999</t>
  </si>
  <si>
    <t>5.1.2.04.99.</t>
  </si>
  <si>
    <t>OTROS SERVICIOS DE GESTION Y APOYO</t>
  </si>
  <si>
    <t>5.1.2.04.99.00.</t>
  </si>
  <si>
    <t>5.1.2.04.99.00.0.</t>
  </si>
  <si>
    <t>5.1.2.04.99.00.0.99999</t>
  </si>
  <si>
    <t>GASTOS DE VIAJE Y TRANSPORTE</t>
  </si>
  <si>
    <t>5.1.2.05.01.</t>
  </si>
  <si>
    <t>TRANSPORTE DENTRO DEL PAIS</t>
  </si>
  <si>
    <t>5.1.2.05.01.00.</t>
  </si>
  <si>
    <t>5.1.2.05.01.00.0.</t>
  </si>
  <si>
    <t>5.1.2.05.01.00.0.99999</t>
  </si>
  <si>
    <t>5.1.2.05.02.</t>
  </si>
  <si>
    <t>VIATICOS DENTRO DEL PAIS</t>
  </si>
  <si>
    <t>5.1.2.05.02.00.</t>
  </si>
  <si>
    <t>5.1.2.05.02.00.0.</t>
  </si>
  <si>
    <t>5.1.2.05.02.00.0.99999</t>
  </si>
  <si>
    <t>5.1.2.05.03.</t>
  </si>
  <si>
    <t>5.1.2.05.03.00.</t>
  </si>
  <si>
    <t>5.1.2.05.03.00.0.</t>
  </si>
  <si>
    <t>5.1.2.05.03.00.0.99999</t>
  </si>
  <si>
    <t>5.1.2.05.04.</t>
  </si>
  <si>
    <t>5.1.2.05.04.00.</t>
  </si>
  <si>
    <t>5.1.2.05.04.00.0.</t>
  </si>
  <si>
    <t>5.1.2.05.04.00.0.99999</t>
  </si>
  <si>
    <t>SEGUROS, REASEGUROS Y OTRAS OBLIGACIONES</t>
  </si>
  <si>
    <t>5.1.2.06.01.</t>
  </si>
  <si>
    <t>SEGUROS</t>
  </si>
  <si>
    <t>5.1.2.06.01.01.</t>
  </si>
  <si>
    <t>SEGUROS CONTRA RIESGOS DE TRABAJO</t>
  </si>
  <si>
    <t>5.1.2.06.01.01.0.</t>
  </si>
  <si>
    <t>5.1.2.06.01.01.0.99999</t>
  </si>
  <si>
    <t>5.1.2.06.01.04.</t>
  </si>
  <si>
    <t>SEGUROS VOLUNTARIOS DE AUTOMOVILES</t>
  </si>
  <si>
    <t>5.1.2.06.01.04.0.</t>
  </si>
  <si>
    <t>5.1.2.06.01.04.0.99999</t>
  </si>
  <si>
    <t>5.1.2.06.01.08.</t>
  </si>
  <si>
    <t>SEGUROS DE EQUIPOS ELECTRONICOS</t>
  </si>
  <si>
    <t>5.1.2.06.01.08.0.</t>
  </si>
  <si>
    <t>5.1.2.06.01.08.0.99999</t>
  </si>
  <si>
    <t>5.1.2.06.01.09.</t>
  </si>
  <si>
    <t>SEGUROS CONTRA INCENDIOS,INUNDACIONES,TERREMOTOS Y</t>
  </si>
  <si>
    <t>5.1.2.06.01.09.0.</t>
  </si>
  <si>
    <t>SEGUROS CONTRA INCENDIOS,INUNDACIONES,TERREMOTOS</t>
  </si>
  <si>
    <t>5.1.2.06.01.09.0.99999</t>
  </si>
  <si>
    <t>SEGUROS CONTRA INCENDIOS,INUNDACIONES,TERREMOT</t>
  </si>
  <si>
    <t>CAPACITACION Y PROTOCOLO</t>
  </si>
  <si>
    <t>5.1.2.07.01.</t>
  </si>
  <si>
    <t>ACTIVIDADES DE CAPACITACION</t>
  </si>
  <si>
    <t>5.1.2.07.01.00.</t>
  </si>
  <si>
    <t>5.1.2.07.01.00.0.</t>
  </si>
  <si>
    <t>5.1.2.07.01.00.0.99999</t>
  </si>
  <si>
    <t>5.1.2.07.02.</t>
  </si>
  <si>
    <t>ACTIVIDADES PROTOCOLARIAS Y SOCIALES</t>
  </si>
  <si>
    <t>5.1.2.07.02.00.</t>
  </si>
  <si>
    <t>5.1.2.07.02.00.0.</t>
  </si>
  <si>
    <t>5.1.2.07.02.00.0.99999</t>
  </si>
  <si>
    <t>MANTENIMIENTO Y REPARACIONES</t>
  </si>
  <si>
    <t>5.1.2.08.01.</t>
  </si>
  <si>
    <t>MANTENIMIENTO TERRENOS Y EDIFICIOS</t>
  </si>
  <si>
    <t>5.1.2.08.01.99.</t>
  </si>
  <si>
    <t>MANTENIMIENTO DE EDIFICIOS VARIOS</t>
  </si>
  <si>
    <t>5.1.2.08.01.99.0.</t>
  </si>
  <si>
    <t>5.1.2.08.01.99.0.99999</t>
  </si>
  <si>
    <t>5.1.2.08.02.</t>
  </si>
  <si>
    <t>MANTENIMIENTO Y REPARACION DE MAQUINARIA Y EQUIPOS PARA LA PRODUCCION</t>
  </si>
  <si>
    <t>5.1.2.08.02.00.</t>
  </si>
  <si>
    <t>5.1.2.08.02.00.0.</t>
  </si>
  <si>
    <t>5.1.2.08.02.00.0.99999</t>
  </si>
  <si>
    <t>5.1.2.08.03.</t>
  </si>
  <si>
    <t>MANTENIMIENTO Y REPARACION DE EQUIPOS DE TRANSPORTE</t>
  </si>
  <si>
    <t>5.1.2.08.03.00.</t>
  </si>
  <si>
    <t>5.1.2.08.03.00.0.</t>
  </si>
  <si>
    <t>5.1.2.08.03.00.0.99999</t>
  </si>
  <si>
    <t>5.1.2.08.04.</t>
  </si>
  <si>
    <t>MANTENIMIENTO Y REPARACION DE EQUIPOS DE COMUNICACIO</t>
  </si>
  <si>
    <t>5.1.2.08.04.00.</t>
  </si>
  <si>
    <t>MANTENIMIENTO Y REPARACION DE EQUIPOS DE COMUNICAC</t>
  </si>
  <si>
    <t>5.1.2.08.04.00.0.</t>
  </si>
  <si>
    <t>MANTENIMIENTO Y REPARACION DE EQUIPOS DE COMUNIC</t>
  </si>
  <si>
    <t>5.1.2.08.04.00.0.99999</t>
  </si>
  <si>
    <t>MANTENIMIENTO Y REPARACION DE EQUIPOS DE COMUN</t>
  </si>
  <si>
    <t>5.1.2.08.05.</t>
  </si>
  <si>
    <t>MANTENIMIENTO Y REPARACION DE EQUIPOS Y MOBILIARIO D</t>
  </si>
  <si>
    <t>5.1.2.08.05.00.</t>
  </si>
  <si>
    <t>MANTENIMIENTO Y REPARACION DE EQUIPOS Y MOBILIARIO</t>
  </si>
  <si>
    <t>5.1.2.08.05.00.0.</t>
  </si>
  <si>
    <t>MANTENIMIENTO Y REPARACION DE EQUIPOS Y MOBILIAR</t>
  </si>
  <si>
    <t>5.1.2.08.05.00.0.99999</t>
  </si>
  <si>
    <t>MANTENIMIENTO Y REPARACION DE EQUIPOS Y MOBILI</t>
  </si>
  <si>
    <t>5.1.2.08.06.</t>
  </si>
  <si>
    <t>MANTENIMIENTO Y REPARACION DE EQUIPOS PARA COMPUTACI</t>
  </si>
  <si>
    <t>5.1.2.08.06.00.</t>
  </si>
  <si>
    <t>MANTENIMIENTO Y REPARACION DE EQUIPOS PARA COMPUTA</t>
  </si>
  <si>
    <t>5.1.2.08.06.00.0.</t>
  </si>
  <si>
    <t>MANTENIMIENTO Y REPARACION DE EQUIPOS PARA COMPU</t>
  </si>
  <si>
    <t>5.1.2.08.06.00.0.99999</t>
  </si>
  <si>
    <t>MANTENIMIENTO Y REPARACION DE EQUIPOS PARA COM</t>
  </si>
  <si>
    <t>MATERIALES Y SUMINISTROS CONSUMIDOS</t>
  </si>
  <si>
    <t>5.1.3.01.01.</t>
  </si>
  <si>
    <t>5.1.3.01.01.00.</t>
  </si>
  <si>
    <t>5.1.3.01.01.00.0.</t>
  </si>
  <si>
    <t>5.1.3.01.01.00.0.99999</t>
  </si>
  <si>
    <t>5.1.3.01.02.</t>
  </si>
  <si>
    <t>5.1.3.01.02.00.</t>
  </si>
  <si>
    <t>5.1.3.01.02.00.0.</t>
  </si>
  <si>
    <t>5.1.3.01.02.00.0.99999</t>
  </si>
  <si>
    <t>5.1.3.01.04.</t>
  </si>
  <si>
    <t>5.1.3.01.04.00.</t>
  </si>
  <si>
    <t>5.1.3.01.04.00.0.</t>
  </si>
  <si>
    <t>5.1.3.01.04.00.0.99999</t>
  </si>
  <si>
    <t>MATERIALES Y PRODUCTOS DE USO EN LA CONSTRUCCION Y MAN</t>
  </si>
  <si>
    <t>5.1.3.03.04.</t>
  </si>
  <si>
    <t>MATERIALES Y PRODUCTOS ELECTRICOS, TELEFONICOS Y DE</t>
  </si>
  <si>
    <t>5.1.3.03.04.00.</t>
  </si>
  <si>
    <t>MATERIALES Y PRODUCTOS ELECTRICOS, TELEFONICOS Y D</t>
  </si>
  <si>
    <t>5.1.3.03.04.00.0.</t>
  </si>
  <si>
    <t>MATERIALES Y PRODUCTOS ELECTRICOS, TELEFONICOS Y</t>
  </si>
  <si>
    <t>5.1.3.03.04.00.0.99999</t>
  </si>
  <si>
    <t>MATERIALES Y PRODUCTOS ELECTRICOS, TELEFONICOS</t>
  </si>
  <si>
    <t>5.1.3.03.06.</t>
  </si>
  <si>
    <t>MATERIALES Y PRODUCTOS DE PLASTICO</t>
  </si>
  <si>
    <t>5.1.3.03.06.00.</t>
  </si>
  <si>
    <t>5.1.3.03.06.00.0.</t>
  </si>
  <si>
    <t>5.1.3.03.06.00.0.99999</t>
  </si>
  <si>
    <t>5.1.3.99.01.</t>
  </si>
  <si>
    <t>5.1.3.99.01.00.</t>
  </si>
  <si>
    <t>5.1.3.99.01.00.0.</t>
  </si>
  <si>
    <t>5.1.3.99.01.00.0.99999</t>
  </si>
  <si>
    <t>5.1.3.99.03.</t>
  </si>
  <si>
    <t>5.1.3.99.03.00.</t>
  </si>
  <si>
    <t>5.1.3.99.03.00.0.</t>
  </si>
  <si>
    <t>5.1.3.99.03.00.0.99999</t>
  </si>
  <si>
    <t>5.1.3.99.05.</t>
  </si>
  <si>
    <t>5.1.3.99.05.00.</t>
  </si>
  <si>
    <t>5.1.3.99.05.00.0.</t>
  </si>
  <si>
    <t>5.1.3.99.05.00.0.99999</t>
  </si>
  <si>
    <t>5.1.3.99.06.</t>
  </si>
  <si>
    <t>UTILES Y MATERIALES DE RESGUARDO Y SEGURIDAD</t>
  </si>
  <si>
    <t>5.1.3.99.06.00.</t>
  </si>
  <si>
    <t>5.1.3.99.06.00.0.</t>
  </si>
  <si>
    <t>5.1.3.99.06.00.0.99999</t>
  </si>
  <si>
    <t>5.1.3.99.99.</t>
  </si>
  <si>
    <t>5.1.3.99.99.00.</t>
  </si>
  <si>
    <t>5.1.3.99.99.00.0.</t>
  </si>
  <si>
    <t>5.1.3.99.99.00.0.99999</t>
  </si>
  <si>
    <t>CONSUMO DE BIENES DISTINTOS DE INVENTARIOS</t>
  </si>
  <si>
    <t>CONSUMO DE BIENES NO CONCESIONADOS</t>
  </si>
  <si>
    <t>5.1.4.01.01.</t>
  </si>
  <si>
    <t>DEPRECIACIONES DE PROPIEDADES, PLANTA Y EQUIPOS EXPL</t>
  </si>
  <si>
    <t>5.1.4.01.01.02.</t>
  </si>
  <si>
    <t>DEPRECIACIONES DE EDIFICIOS</t>
  </si>
  <si>
    <t>5.1.4.01.01.02.0.</t>
  </si>
  <si>
    <t>5.1.4.01.01.02.0.99999</t>
  </si>
  <si>
    <t>5.1.4.01.01.03.</t>
  </si>
  <si>
    <t>DEPRECIACIONES DE MAQUINARIA Y EQUIPO PARA LA PROD</t>
  </si>
  <si>
    <t>5.1.4.01.01.03.0.</t>
  </si>
  <si>
    <t>DEPRECIACIONES DE MAQUINARIA Y EQUIPO PARA LA PR</t>
  </si>
  <si>
    <t>5.1.4.01.01.03.0.99999</t>
  </si>
  <si>
    <t>DEPRECIACIONES DE MAQUINARIA Y EQUIPO PARA LA</t>
  </si>
  <si>
    <t>5.1.4.01.01.04.</t>
  </si>
  <si>
    <t>DEPRECIACIONES DE EQUIPOS DE TRANSPORTE, TRACCION</t>
  </si>
  <si>
    <t>5.1.4.01.01.04.0.</t>
  </si>
  <si>
    <t>DEPRECIACIONES DE EQUIPOS DE TRANSPORTE, TRACCIO</t>
  </si>
  <si>
    <t>5.1.4.01.01.04.0.99999</t>
  </si>
  <si>
    <t>DEPRECIACIONES DE EQUIPOS DE TRANSPORTE, TRACC</t>
  </si>
  <si>
    <t>5.1.4.01.01.05.</t>
  </si>
  <si>
    <t>DEPRECIACIONES DE EQUIPOS DE COMUNICACION</t>
  </si>
  <si>
    <t>5.1.4.01.01.05.0.</t>
  </si>
  <si>
    <t>5.1.4.01.01.05.0.99999</t>
  </si>
  <si>
    <t>5.1.4.01.01.06.</t>
  </si>
  <si>
    <t>DEPRECIACIONES DE EQUIPOS Y MOBILIARIO DE OFICINA</t>
  </si>
  <si>
    <t>5.1.4.01.01.06.0.</t>
  </si>
  <si>
    <t>DEPRECIACIONES DE EQUIPOS Y MOBILIARIO DE OFICIN</t>
  </si>
  <si>
    <t>5.1.4.01.01.06.0.99999</t>
  </si>
  <si>
    <t>DEPRECIACIONES DE EQUIPOS Y MOBILIARIO DE OFIC</t>
  </si>
  <si>
    <t>5.1.4.01.01.07.</t>
  </si>
  <si>
    <t>DEPRECIACIONES DE EQUIPOS PARA COMPUTACION</t>
  </si>
  <si>
    <t>5.1.4.01.01.07.0.</t>
  </si>
  <si>
    <t>5.1.4.01.01.07.0.99999</t>
  </si>
  <si>
    <t>5.1.4.01.01.08.</t>
  </si>
  <si>
    <t>DEPRECIACIONES DE EQUIPOS SANITARIOS, DE LABORATOR</t>
  </si>
  <si>
    <t>5.1.4.01.01.08.0.</t>
  </si>
  <si>
    <t>DEPRECIACIONES DE EQUIPOS SANITARIOS, DE LABORAT</t>
  </si>
  <si>
    <t>5.1.4.01.01.08.0.99999</t>
  </si>
  <si>
    <t>DEPRECIACIONES DE EQUIPOS SANITARIOS, DE LABOR</t>
  </si>
  <si>
    <t>5.1.4.01.01.09.</t>
  </si>
  <si>
    <t>DEPRECIACIONES DE EQUIPOS Y MOBIL.EDUCACIONAL,DEPO</t>
  </si>
  <si>
    <t>5.1.4.01.01.09.0.</t>
  </si>
  <si>
    <t>DEPRECIACIONES DE EQUIPOS Y MOBIL.EDUCACIONAL,DE</t>
  </si>
  <si>
    <t>5.1.4.01.01.09.0.99999</t>
  </si>
  <si>
    <t>DEPRECIACIONES DE EQUIPOS Y MOBIL.EDUCACIONAL,</t>
  </si>
  <si>
    <t>5.1.4.01.01.10.</t>
  </si>
  <si>
    <t>DEPRECIACIONES DE EQUIPOS DE SEGURIDAD, ORDEN, VIGILANCIA Y CONTROL PÚBLICO</t>
  </si>
  <si>
    <t>5.1.4.01.01.10.0.</t>
  </si>
  <si>
    <t>5.1.4.01.01.10.0.99999</t>
  </si>
  <si>
    <t>5.1.4.01.01.99.</t>
  </si>
  <si>
    <t>DEPRECIACIONES DE MAQUINARIAS, EQUIPOS Y MOBILIARIOS DIVERSOS</t>
  </si>
  <si>
    <t>5.1.4.01.01.99.0.</t>
  </si>
  <si>
    <t>5.1.4.01.01.99.0.99999</t>
  </si>
  <si>
    <t>5.1.4.01.08.</t>
  </si>
  <si>
    <t>AMORTIZACIONES DE BIENES INTANGIBLES NO CONCESIONADO</t>
  </si>
  <si>
    <t>5.1.4.01.08.03.</t>
  </si>
  <si>
    <t>AMORTIZACIONES DE SOFTWARE Y PROGRAMAS</t>
  </si>
  <si>
    <t>5.1.4.01.08.03.0.</t>
  </si>
  <si>
    <t>5.1.4.01.08.03.0.99999</t>
  </si>
  <si>
    <t>5.1.4.01.08.99.</t>
  </si>
  <si>
    <t>AMORTIZACIONES DE OTROS BIENES INTANGIBLES</t>
  </si>
  <si>
    <t>5.1.4.01.08.99.0.</t>
  </si>
  <si>
    <t>5.1.4.01.08.99.0.99999</t>
  </si>
  <si>
    <t>PERDIDAS POR DETERIORO Y DESVALORACION DE BIENES</t>
  </si>
  <si>
    <t>DETERIORO Y DESVALORIZACION DE BIENES NO CONCESIONADOS</t>
  </si>
  <si>
    <t>5.1.5.01.01.</t>
  </si>
  <si>
    <t>DETERIORO Y DESVALORIZACION DE PROPIEDAD, PLANTA Y EQUIPOS EXPLOTADOS</t>
  </si>
  <si>
    <t>5.1.5.01.01.02.</t>
  </si>
  <si>
    <t>DETERIORO Y DESVALORIZACION DE EDIFICIOS</t>
  </si>
  <si>
    <t>5.1.5.01.01.02.0.</t>
  </si>
  <si>
    <t>5.1.5.01.01.02.0.99999</t>
  </si>
  <si>
    <t>DETERIORO Y PERDIDAS DE INVENTARIOS</t>
  </si>
  <si>
    <t>DETERIORO Y PERDIDAS DE INVENTARIOS POR MATERIALES Y SUMINISTROS PARA CONSUMO Y PRESTACION</t>
  </si>
  <si>
    <t>5.1.6.01.99.</t>
  </si>
  <si>
    <t>DETERIORO Y PERDIDAS DE UTILES, MATERIALES Y SUMINISTROS DIVERSOS</t>
  </si>
  <si>
    <t>5.1.6.01.99.00.</t>
  </si>
  <si>
    <t>5.1.6.01.99.00.0.</t>
  </si>
  <si>
    <t>5.1.6.01.99.00.0.99999</t>
  </si>
  <si>
    <t>CARGOS POR PROVISIONES Y RESERVAS TECNICAS</t>
  </si>
  <si>
    <t>CARGOS POR LITIGIOS Y DEMANDAS</t>
  </si>
  <si>
    <t>5.1.8.01.01.</t>
  </si>
  <si>
    <t>CARGOS POR LITIGIOS Y DEMANDAS COMERCIALES</t>
  </si>
  <si>
    <t>5.1.8.01.01.00.</t>
  </si>
  <si>
    <t>5.1.8.01.01.00.0.</t>
  </si>
  <si>
    <t>5.1.8.01.01.00.0.99999</t>
  </si>
  <si>
    <t>TRANSFERENCIAS CORRIENTES AL SECTOR PRIVADO INTERNO</t>
  </si>
  <si>
    <t>5.4.1.01.01.</t>
  </si>
  <si>
    <t>TRANSFERENCIAS CORRIENTES A PERSONAS</t>
  </si>
  <si>
    <t>5.4.1.01.01.01.</t>
  </si>
  <si>
    <t>PRESTACIONES</t>
  </si>
  <si>
    <t>5.4.1.01.01.01.9.</t>
  </si>
  <si>
    <t>OTRAS PRESTACIONES</t>
  </si>
  <si>
    <t>5.4.1.01.01.01.9.99999</t>
  </si>
  <si>
    <t>5.4.1.01.01.02.</t>
  </si>
  <si>
    <t>Becas</t>
  </si>
  <si>
    <t>5.4.1.01.01.02.0.</t>
  </si>
  <si>
    <t>5.4.1.01.01.02.0.99999</t>
  </si>
  <si>
    <t>5.4.1.01.01.99.</t>
  </si>
  <si>
    <t>OTRAS TRANSFERENCIAS CORRIENTES A PERSONAS</t>
  </si>
  <si>
    <t>5.4.1.01.01.99.0.</t>
  </si>
  <si>
    <t>5.4.1.01.01.99.0.99999</t>
  </si>
  <si>
    <t>5.4.1.01.02.</t>
  </si>
  <si>
    <t>TRANSFERENCIAS CORRIENTES A ENTIDADES DEL SECTOR PRIVADO INTERNO</t>
  </si>
  <si>
    <t>5.4.1.01.02.01.</t>
  </si>
  <si>
    <t>TRANSFERENCIAS CORRIENTES A ENTIDADES PRIVADAS SIN FINES DE LUCRO</t>
  </si>
  <si>
    <t>5.4.1.01.02.01.1.</t>
  </si>
  <si>
    <t>TRANSFERENCIAS CORRIENTES A ASOCIACIONES</t>
  </si>
  <si>
    <t>5.4.1.01.02.01.1.99999</t>
  </si>
  <si>
    <t>5.4.1.01.02.01.2.</t>
  </si>
  <si>
    <t>TRANSFERENCIAS CORRIENTES A FUNDACIONES</t>
  </si>
  <si>
    <t>5.4.1.01.02.01.2.99999</t>
  </si>
  <si>
    <t>5.4.1.01.02.02.</t>
  </si>
  <si>
    <t>TRANSFERENCIAS CORRIENTES A EMPRESAS PRIVADAS</t>
  </si>
  <si>
    <t>5.4.1.01.02.02.0.</t>
  </si>
  <si>
    <t>5.4.1.01.02.02.0.99999</t>
  </si>
  <si>
    <t>TRANSFERENCIAS CORRIENTES AL SECTOR PUBLICO INTERNO</t>
  </si>
  <si>
    <t>5.4.1.02.01.</t>
  </si>
  <si>
    <t xml:space="preserve">TRANSFERENCIAS CORRIENTES AL GOBIERNO CENTRAL </t>
  </si>
  <si>
    <t>5.4.1.02.01.99.</t>
  </si>
  <si>
    <t>OTRAS TRANSFERENCIAS CORRIENTES AL GOBIERNO CENTRAL</t>
  </si>
  <si>
    <t>5.4.1.02.01.99.0.</t>
  </si>
  <si>
    <t>5.4.1.02.01.99.0.99999</t>
  </si>
  <si>
    <t>FIDECOMISO PROPYME (LEY No. 8262)</t>
  </si>
  <si>
    <t>5.4.1.02.02.</t>
  </si>
  <si>
    <t>TRANSFERENCIAS CORRIENTES A ORGANOS DESCONCENTRADOS</t>
  </si>
  <si>
    <t>5.4.1.02.02.06.</t>
  </si>
  <si>
    <t>TRANSFERENCIAS CORRIENTES A ORGANOS DESCONCENTRADO</t>
  </si>
  <si>
    <t>5.4.1.02.02.06.0.</t>
  </si>
  <si>
    <t>TRANSFERENCIAS CORRIENTES A ORGANOS DESCONCENTRA</t>
  </si>
  <si>
    <t>5.4.1.02.02.06.0.12554</t>
  </si>
  <si>
    <t>COMISION NACIONAL DE EMERGENCIAS</t>
  </si>
  <si>
    <t>5.4.1.02.02.06.0.14340</t>
  </si>
  <si>
    <t>UNIVERSIDAD DE COSTA RICA (UCR)</t>
  </si>
  <si>
    <t>5.4.1.02.03.</t>
  </si>
  <si>
    <t>TRANSFERENCIAS CORRIENTES A INSTITUCIONES DESCENTRALIZADAS NO EMPRESARIALES</t>
  </si>
  <si>
    <t>5.4.1.02.03.06.</t>
  </si>
  <si>
    <t>5.4.1.02.03.06.0.</t>
  </si>
  <si>
    <t>5.4.1.02.03.06.0.14231</t>
  </si>
  <si>
    <t>INSTITUTO TECNOLOGICO DE COSTA RICA (ITCR)</t>
  </si>
  <si>
    <t>5.4.1.02.03.06.0.14340</t>
  </si>
  <si>
    <t>5.4.1.02.03.06.0.14342</t>
  </si>
  <si>
    <t>UNIVERSIDAD NACIONAL (UNA)</t>
  </si>
  <si>
    <t>5.4.1.02.03.06.0.14250</t>
  </si>
  <si>
    <t>JUNTAS ADMINISTRATIVAS DE COLEGIOS Y OTRAS INSTITUCIONES EDUCATIVAS</t>
  </si>
  <si>
    <t>5.4.1.02.06.</t>
  </si>
  <si>
    <t>TRANSFERENCIAS CORRIENTES A INSTITUCIONES PUBLICAS FINANCIERAS</t>
  </si>
  <si>
    <t>5.4.1.02.06.06.</t>
  </si>
  <si>
    <t>5.4.1.02.06.06.0.</t>
  </si>
  <si>
    <t>5.4.1.02.06.06.0.21101</t>
  </si>
  <si>
    <t>BANCO DE COSTA RICA (BCR) FIDECOMISO PROPYME (LEY No. 8262)</t>
  </si>
  <si>
    <t>TRANSFERENCIAS CORRIENTES AL SECTOR EXTERNO</t>
  </si>
  <si>
    <t>5.4.1.03.02.</t>
  </si>
  <si>
    <t>TRANSFERENCIAS CORRIENTES A ORGANISMOS INTERNACIONAL</t>
  </si>
  <si>
    <t>5.4.1.03.02.06.</t>
  </si>
  <si>
    <t>TRANSFERENCIAS CORRIENTES A ORGANISMOS INTERNACION</t>
  </si>
  <si>
    <t>5.4.1.03.02.06.0.</t>
  </si>
  <si>
    <t>TRANSFERENCIAS CORRIENTES A ORGANISMOS INTERNACI</t>
  </si>
  <si>
    <t>5.4.1.03.02.06.0.11206</t>
  </si>
  <si>
    <t>TRANSFERENCIAS CORRIENTES A ORGANISMOS INTERNA MINISTERIO DE HACIENDA</t>
  </si>
  <si>
    <t>TRANSFERENCIAS DE CAPITAL</t>
  </si>
  <si>
    <t>TRANSFERENCIAS DE CAPITAL AL SECTOR PRIVADO INTERNO</t>
  </si>
  <si>
    <t>5.4.2.01.02.</t>
  </si>
  <si>
    <t>TRANSFERENCIAS DE CAPITAL A ENTIDADES DEL SECTOR PRIVADO INTERNO</t>
  </si>
  <si>
    <t>5.4.2.01.02.01.</t>
  </si>
  <si>
    <t>TRANSFERENCIAS DE CAPITAL A ENTIDADES PRIVADAS SIN FINES DE LUCRO</t>
  </si>
  <si>
    <t>5.4.2.01.02.01.1.</t>
  </si>
  <si>
    <t>TRANSFERENCIAS DE CAPITAL A ASOCIACIONES</t>
  </si>
  <si>
    <t>5.4.2.01.02.01.1.99999</t>
  </si>
  <si>
    <t>ASECONI</t>
  </si>
  <si>
    <t>OTROS GASTOS</t>
  </si>
  <si>
    <t>RESULTADOS NEGATIVOS POR TENENCIA Y POR EXPOSICION A LA</t>
  </si>
  <si>
    <t>DIFERENCIAS DE CAMBIO NEGATIVAS POR ACTIVOS</t>
  </si>
  <si>
    <t>5.9.1.01.01.</t>
  </si>
  <si>
    <t>DIFERENCIAS DE CAMBIO NEGATIVAS POR EFECTIVO</t>
  </si>
  <si>
    <t>5.9.1.01.01.01.</t>
  </si>
  <si>
    <t>DIFERENCIAS DE CAMBIO NEGATIVAS POR EFECTIVO EN CAJA</t>
  </si>
  <si>
    <t>5.9.1.01.01.01.2.</t>
  </si>
  <si>
    <t>DIFERENCIAS DE CAMBIO NEGATIVAS POR EFECTIVO EN CAJA EN EL PAIS</t>
  </si>
  <si>
    <t>5.9.1.01.01.01.2.99999</t>
  </si>
  <si>
    <t>RESULTADOS NEGATIVOS DE INVERSIONES PATRIMONIALES Y PARTICIPACIÓN DE LOS INTERESES MINORITARIOS</t>
  </si>
  <si>
    <t>RESULTADOS NEGATIVOS DE INVERSIONES PATRIMONIALES</t>
  </si>
  <si>
    <t>5.9.2.01.01.</t>
  </si>
  <si>
    <t>RESULTADOS NEGATIVOS DE INVERSIONES PATRIMONIALES EN EL SECTOR PRIVADO INTERNO</t>
  </si>
  <si>
    <t>5.9.2.01.01.01.</t>
  </si>
  <si>
    <t>RESULTADOS NEGATIVOS DE INVERSIONES PATRIMONIALES EN EMPRESAS PRIVADAS</t>
  </si>
  <si>
    <t>5.9.2.01.01.01.0.</t>
  </si>
  <si>
    <t>RESULTADOS NEGATIVOS DE INVERSIONES PATRIMONIALES EN OTRAS UNIDADES DEL SECTOR PRIVADO</t>
  </si>
  <si>
    <t>5.9.2.01.01.01.0.99999</t>
  </si>
  <si>
    <t>OTROS GASTOS Y RESULTADOS NEGATIVOS</t>
  </si>
  <si>
    <t>IMPUESTOS MULTAS Y RECARGOS MORATORIOS</t>
  </si>
  <si>
    <t>5.9.9.02.01.</t>
  </si>
  <si>
    <t xml:space="preserve">IMPUESTOS  </t>
  </si>
  <si>
    <t>5.9.9.02.01.00.</t>
  </si>
  <si>
    <t>IMPUESTOS</t>
  </si>
  <si>
    <t>5.9.9.02.01.00.0.</t>
  </si>
  <si>
    <t>5.9.9.02.01.00.0.99999</t>
  </si>
  <si>
    <t>GASTOS Y RESULTADOS NEGATIVOS VARIOS</t>
  </si>
  <si>
    <t>5.9.9.99.03.</t>
  </si>
  <si>
    <t>5.9.9.99.03.00.</t>
  </si>
  <si>
    <t>5.9.9.99.03.00.0.</t>
  </si>
  <si>
    <t>5.9.9.99.03.00.0.99999</t>
  </si>
  <si>
    <t>5.9.9.99.04.</t>
  </si>
  <si>
    <t>REINTEGROS AL SECTOR PRIVADO</t>
  </si>
  <si>
    <t>5.9.9.99.04.00.</t>
  </si>
  <si>
    <t>5.9.9.99.04.00.0.</t>
  </si>
  <si>
    <t>JENNIFER SOLIS OCAMPO</t>
  </si>
  <si>
    <t>5.9.9.99.99.</t>
  </si>
  <si>
    <t>5.9.9.99.99.00.</t>
  </si>
  <si>
    <t>5.9.9.99.99.00.0.</t>
  </si>
  <si>
    <t>5.9.9.99.99.00.0.99999</t>
  </si>
  <si>
    <t>OTROS RESULTADOS NEGATIVOS EN ROBO DE EQUIPO DE COMPUTO (DEDUCIBLE)</t>
  </si>
  <si>
    <t>GRAN TOTAL</t>
  </si>
  <si>
    <t>Al 31 de Diciembre de 2019</t>
  </si>
  <si>
    <t>Periodo: 12</t>
  </si>
  <si>
    <t>ESTADO DE CAMBIOS EN EL PATRIMONIO NETO</t>
  </si>
  <si>
    <t xml:space="preserve">En miles de colones </t>
  </si>
  <si>
    <t xml:space="preserve">Cuenta </t>
  </si>
  <si>
    <t>Concepto</t>
  </si>
  <si>
    <t>Transferencias
de capital</t>
  </si>
  <si>
    <t>Intereses Minoritarios Part. Patrimonio</t>
  </si>
  <si>
    <t>Intereses Minoritarios Evolución</t>
  </si>
  <si>
    <t>Total Patrimonio</t>
  </si>
  <si>
    <t xml:space="preserve">Variaciones del ejercicio </t>
  </si>
  <si>
    <t>Total de variaciones del ejercicio</t>
  </si>
  <si>
    <t>Saldos del período</t>
  </si>
  <si>
    <t xml:space="preserve">   (*) De uso exclusivo en Estados Contables consolidados</t>
  </si>
  <si>
    <t>14161T42019</t>
  </si>
  <si>
    <t>ESTADO DE FLUJO DE EFECTIVO</t>
  </si>
  <si>
    <t>P</t>
  </si>
  <si>
    <t>Nota Nº</t>
  </si>
  <si>
    <t>FLUJOS DE EFECTIVO DE LAS ACTIVIDADES DE OPERACIÓN</t>
  </si>
  <si>
    <t>Cobros</t>
  </si>
  <si>
    <t>Cobros por impuestos</t>
  </si>
  <si>
    <t>Cobros por contribuciones sociales</t>
  </si>
  <si>
    <t>Cobros por multas, sanciones, remates y confiscaciones de origen no tributario</t>
  </si>
  <si>
    <t>Cobros por ventas de inventarios, servicios y derechos administrativos</t>
  </si>
  <si>
    <t>Cobros por ingresos de la propiedad</t>
  </si>
  <si>
    <t xml:space="preserve">Cobros por transferencias </t>
  </si>
  <si>
    <t>Cobros por concesiones</t>
  </si>
  <si>
    <t>Otros cobros por actividades de operación</t>
  </si>
  <si>
    <t>Pagos</t>
  </si>
  <si>
    <t>Pagos por beneficios al personal</t>
  </si>
  <si>
    <t>Pagos por servicios y adquisiciones de inventarios (incluye anticipos)</t>
  </si>
  <si>
    <t>Pagos por prestaciones de la seguridad social</t>
  </si>
  <si>
    <t xml:space="preserve">Pagos por otras transferencias </t>
  </si>
  <si>
    <t>Otros pagos por actividades de operación</t>
  </si>
  <si>
    <t>Flujos netos de efectivo por actividades de operación</t>
  </si>
  <si>
    <t>FLUJOS DE EFECTIVO DE LAS ACTIVIDADES DE INVERSIÓN</t>
  </si>
  <si>
    <t>Cobros por ventas de bienes distintos de inventarios</t>
  </si>
  <si>
    <t>Cobros por ventas y reembolso de inversiones patrimoniales</t>
  </si>
  <si>
    <t>Cobros por ventas y reembolso de inversiones en otros instrumentos financieros</t>
  </si>
  <si>
    <t>Cobros por reembolsos de préstamos</t>
  </si>
  <si>
    <t>Otros cobros por actividades de inversión</t>
  </si>
  <si>
    <t>Pagos por adquisición de bienes distintos de inventarios</t>
  </si>
  <si>
    <t>Pagos por adquisición de inversiones patrimoniales</t>
  </si>
  <si>
    <t>Pagos por adquisición de inversiones en otros instrumentos financieros</t>
  </si>
  <si>
    <t>Pagos por préstamos otorgados</t>
  </si>
  <si>
    <t>Otros pagos por actividades de inversión</t>
  </si>
  <si>
    <t>Flujos netos de efectivo por actividades de inversión</t>
  </si>
  <si>
    <t>FLUJOS DE EFECTIVO DE LAS ACTIVIDADES DE FINANCIACIÓN</t>
  </si>
  <si>
    <t>Cobros por incrementos de capital y transferencias de capital</t>
  </si>
  <si>
    <t>Cobros por endeudamiento público</t>
  </si>
  <si>
    <t>Otros cobros por actividades de financiación</t>
  </si>
  <si>
    <t>Pagos por disminuciones del patrimonio que no afectan resultados</t>
  </si>
  <si>
    <t>Pagos por amortizaciones de endeudamiento público</t>
  </si>
  <si>
    <t>Otros pagos por actividades de financiación</t>
  </si>
  <si>
    <t>Flujos netos de efectivo por actividades de financiación</t>
  </si>
  <si>
    <t>Incremento/Disminución neta de efectivo y equivalentes de efectivo por flujos de actividades</t>
  </si>
  <si>
    <t>Incremento/Disminución neta de efectivo y equivalentes de efectivo por diferencias de cambio no realizadas</t>
  </si>
  <si>
    <t>Efectivo y equivalentes de efectivo al inicio del ejercicio</t>
  </si>
  <si>
    <t>Efectivo y equivalentes de efectivo al final del ejercicio</t>
  </si>
  <si>
    <t>Del 01 de Enero de 2019 al 31 de Diciembre de 2019</t>
  </si>
  <si>
    <t xml:space="preserve">ESTADO DE LA DEUDA PUBLICA </t>
  </si>
  <si>
    <t>Miles de Colones</t>
  </si>
  <si>
    <t>OBLIGACIONES</t>
  </si>
  <si>
    <t>IMPUTACIONES CONTABLES RELACIONADAS</t>
  </si>
  <si>
    <t xml:space="preserve">SALDO DEL CAPITAL AL INICIO DEL EJERCICIO INFORMADO </t>
  </si>
  <si>
    <t>MOVIMIENTOS DEL EJERCICIO</t>
  </si>
  <si>
    <t>INTERESES VENCIDOS</t>
  </si>
  <si>
    <t>GASTOS Y
COMISIONES
DEL EJERCICIO</t>
  </si>
  <si>
    <t xml:space="preserve">SALDO DEL CAPITAL
EN COLONES AL CIERRE
DEL PERIODO </t>
  </si>
  <si>
    <t>Disminuciones</t>
  </si>
  <si>
    <t>Ajuste al Saldo inicial</t>
  </si>
  <si>
    <t>Mov. Presupuestarios</t>
  </si>
  <si>
    <t>Mov. sin impacto Presupuestario</t>
  </si>
  <si>
    <t>Pagados</t>
  </si>
  <si>
    <t>Impagos</t>
  </si>
  <si>
    <t xml:space="preserve">DEUDA PUBLICA TOTAL   </t>
  </si>
  <si>
    <t xml:space="preserve"> I.  DEUDA PUBLICA INTERNA   </t>
  </si>
  <si>
    <r>
      <t xml:space="preserve">       Gobierno Central  </t>
    </r>
    <r>
      <rPr>
        <b/>
        <vertAlign val="superscript"/>
        <sz val="10"/>
        <rFont val="Arial Narrow"/>
        <family val="2"/>
      </rPr>
      <t xml:space="preserve">  </t>
    </r>
  </si>
  <si>
    <t xml:space="preserve">Titulos </t>
  </si>
  <si>
    <t>Préstamos</t>
  </si>
  <si>
    <t>Proveedores</t>
  </si>
  <si>
    <t>Otras Deudas</t>
  </si>
  <si>
    <r>
      <t xml:space="preserve">      Gobierno Local  </t>
    </r>
    <r>
      <rPr>
        <b/>
        <vertAlign val="superscript"/>
        <sz val="10"/>
        <rFont val="Arial Narrow"/>
        <family val="2"/>
      </rPr>
      <t xml:space="preserve">  </t>
    </r>
  </si>
  <si>
    <t xml:space="preserve">       Resto del Sector Público no financiero</t>
  </si>
  <si>
    <t xml:space="preserve">       Banco Central  </t>
  </si>
  <si>
    <t xml:space="preserve">       Resto del Sector Público financiero</t>
  </si>
  <si>
    <t xml:space="preserve">II. DEUDA PÚBLICA EXTERNA </t>
  </si>
  <si>
    <t>Préstamos multilaterales</t>
  </si>
  <si>
    <t>Préstamos bilaterales</t>
  </si>
  <si>
    <t>Banca Privada</t>
  </si>
  <si>
    <t>Consejo Nacional de Investigaciones Científicas y Tecnológicas (CONICIT)</t>
  </si>
  <si>
    <t>Al 31 de Diciembre de 2019
SI(Data!D2=Data!F2;Data!H2;
SI(Data!D2=Data!F3;Data!H3;
SI(Data!D2=Data!F4;Data!H4;
SI(Data!D2=Data!F5;Data!H5;
SI(Data!D2=Data!F6;Data!H6;
SI(Data!D2=Data!F7;Data!H7;
SI(Data!D2=Data!F8;Data!H8;
SI(Data!D2=Data!F9;Data!H9;
SI(Data!D2=Data!F10;Data!H10;
SI(Data!D2=Data!F11;Data!H11;
SI(Data!D2=Data!F12;Data!H12;
SI(Data!D2=Data!F13;Data!H13;
SI(Data!D2=Data!F14;Data!H14;
SI(Data!D2=Data!F15;Data!H15;
SI(Data!D2=Data!F16;Data!H16;0))))))))))))))))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</si>
</sst>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00\ _₡_-;\-* #,##0.00\ _₡_-;_-* &quot;-&quot;??\ _₡_-;_-@_-"/>
  </numFmts>
  <fonts count="58" x14ac:knownFonts="1">
    <font>
      <sz val="11"/>
      <color theme="1"/>
      <name val="Calibri"/>
      <family val="2"/>
      <scheme val="minor"/>
    </font>
    <font>
      <b/>
      <sz val="14"/>
      <name val="Arial"/>
      <family val="2"/>
    </font>
    <font>
      <sz val="10"/>
      <name val="Arial"/>
      <family val="2"/>
    </font>
    <font>
      <sz val="11"/>
      <color theme="0"/>
      <name val="Calibri"/>
      <family val="2"/>
      <scheme val="minor"/>
    </font>
    <font>
      <sz val="11"/>
      <color theme="1"/>
      <name val="Calibri"/>
      <family val="2"/>
      <scheme val="minor"/>
    </font>
    <font>
      <sz val="12"/>
      <color theme="1"/>
      <name val="Arial Narrow"/>
      <family val="2"/>
    </font>
    <font>
      <b/>
      <sz val="12"/>
      <name val="Arial Narrow"/>
      <family val="2"/>
    </font>
    <font>
      <b/>
      <i/>
      <u/>
      <sz val="12"/>
      <name val="Arial Narrow"/>
      <family val="2"/>
    </font>
    <font>
      <sz val="11"/>
      <color theme="0"/>
      <name val="Arial Narrow"/>
      <family val="2"/>
    </font>
    <font>
      <sz val="11"/>
      <color theme="1"/>
      <name val="Arial Narrow"/>
      <family val="2"/>
    </font>
    <font>
      <b/>
      <sz val="10"/>
      <color theme="0"/>
      <name val="Arial Narrow"/>
      <family val="2"/>
    </font>
    <font>
      <b/>
      <u/>
      <sz val="10"/>
      <color theme="0"/>
      <name val="Arial Narrow"/>
      <family val="2"/>
    </font>
    <font>
      <sz val="10"/>
      <color theme="0"/>
      <name val="Arial Narrow"/>
      <family val="2"/>
    </font>
    <font>
      <sz val="10"/>
      <color theme="1"/>
      <name val="Arial Narrow"/>
      <family val="2"/>
    </font>
    <font>
      <b/>
      <sz val="10"/>
      <color theme="3" tint="-0.249977111117893"/>
      <name val="Arial Narrow"/>
      <family val="2"/>
    </font>
    <font>
      <sz val="10"/>
      <name val="Arial Narrow"/>
      <family val="2"/>
    </font>
    <font>
      <b/>
      <sz val="10"/>
      <name val="Arial Narrow"/>
      <family val="2"/>
    </font>
    <font>
      <b/>
      <u/>
      <sz val="10"/>
      <name val="Arial Narrow"/>
      <family val="2"/>
    </font>
    <font>
      <b/>
      <u/>
      <sz val="12"/>
      <color theme="0"/>
      <name val="Arial Narrow"/>
      <family val="2"/>
    </font>
    <font>
      <b/>
      <sz val="12"/>
      <color theme="0"/>
      <name val="Arial Narrow"/>
      <family val="2"/>
    </font>
    <font>
      <b/>
      <i/>
      <sz val="10"/>
      <name val="Arial Narrow"/>
      <family val="2"/>
    </font>
    <font>
      <b/>
      <sz val="14"/>
      <name val="Arial Narrow"/>
      <family val="2"/>
    </font>
    <font>
      <sz val="12"/>
      <color theme="0"/>
      <name val="Arial Narrow"/>
      <family val="2"/>
    </font>
    <font>
      <i/>
      <sz val="10"/>
      <name val="Arial Narrow"/>
      <family val="2"/>
    </font>
    <font>
      <i/>
      <sz val="11"/>
      <name val="Arial Narrow"/>
      <family val="2"/>
    </font>
    <font>
      <b/>
      <sz val="11"/>
      <color theme="0"/>
      <name val="Arial Narrow"/>
      <family val="2"/>
    </font>
    <font>
      <sz val="11"/>
      <name val="Arial Narrow"/>
      <family val="2"/>
    </font>
    <font>
      <sz val="11"/>
      <color indexed="8"/>
      <name val="Arial Narrow"/>
      <family val="2"/>
    </font>
    <font>
      <b/>
      <i/>
      <sz val="11"/>
      <color indexed="8"/>
      <name val="Arial Narrow"/>
      <family val="2"/>
    </font>
    <font>
      <vertAlign val="subscript"/>
      <sz val="11"/>
      <color theme="0"/>
      <name val="Arial Narrow"/>
      <family val="2"/>
    </font>
    <font>
      <b/>
      <sz val="12"/>
      <color indexed="8"/>
      <name val="Arial Narrow"/>
      <family val="2"/>
    </font>
    <font>
      <i/>
      <sz val="11"/>
      <color indexed="8"/>
      <name val="Arial Narrow"/>
      <family val="2"/>
    </font>
    <font>
      <sz val="11"/>
      <color theme="5" tint="-0.499984740745262"/>
      <name val="Arial Narrow"/>
      <family val="2"/>
    </font>
    <font>
      <b/>
      <sz val="11"/>
      <color theme="1"/>
      <name val="Arial Narrow"/>
      <family val="2"/>
    </font>
    <font>
      <b/>
      <sz val="12"/>
      <color theme="1"/>
      <name val="Arial Narrow"/>
      <family val="2"/>
    </font>
    <font>
      <sz val="9"/>
      <color indexed="81"/>
      <name val="Tahoma"/>
      <family val="2"/>
    </font>
    <font>
      <b/>
      <sz val="9"/>
      <color indexed="81"/>
      <name val="Tahoma"/>
      <family val="2"/>
    </font>
    <font>
      <sz val="7"/>
      <name val="Arial"/>
      <family val="2"/>
    </font>
    <font>
      <b/>
      <sz val="10"/>
      <name val="Arial"/>
      <family val="2"/>
    </font>
    <font>
      <b/>
      <sz val="8"/>
      <name val="Arial"/>
      <family val="2"/>
    </font>
    <font>
      <b/>
      <sz val="10"/>
      <name val="Lucida Sans Unicode"/>
      <family val="2"/>
    </font>
    <font>
      <sz val="10"/>
      <name val="Lucida Sans Unicode"/>
      <family val="2"/>
    </font>
    <font>
      <b/>
      <i/>
      <sz val="10"/>
      <name val="Arial"/>
      <family val="2"/>
    </font>
    <font>
      <b/>
      <sz val="9"/>
      <name val="Arial"/>
      <family val="2"/>
    </font>
    <font>
      <sz val="11"/>
      <color rgb="FFFFFFFF"/>
      <name val="Arial Narrow"/>
      <family val="2"/>
    </font>
    <font>
      <sz val="9"/>
      <color theme="1"/>
      <name val="Calibri"/>
      <family val="2"/>
      <scheme val="minor"/>
    </font>
    <font>
      <b/>
      <sz val="9"/>
      <color theme="1"/>
      <name val="Calibri"/>
      <family val="2"/>
      <scheme val="minor"/>
    </font>
    <font>
      <sz val="9"/>
      <name val="Calibri"/>
      <family val="2"/>
      <scheme val="minor"/>
    </font>
    <font>
      <b/>
      <sz val="11"/>
      <color rgb="FF000000"/>
      <name val="Arial Narrow"/>
      <family val="2"/>
    </font>
    <font>
      <sz val="11"/>
      <color rgb="FF000000"/>
      <name val="Arial Narrow"/>
      <family val="2"/>
    </font>
    <font>
      <b/>
      <sz val="9"/>
      <name val="Calibri"/>
      <family val="2"/>
      <scheme val="minor"/>
    </font>
    <font>
      <b/>
      <sz val="12"/>
      <color theme="0"/>
      <name val="Calibri"/>
      <family val="2"/>
      <scheme val="minor"/>
    </font>
    <font>
      <b/>
      <sz val="12"/>
      <color theme="1"/>
      <name val="Calibri"/>
      <family val="2"/>
      <scheme val="minor"/>
    </font>
    <font>
      <sz val="14"/>
      <color theme="1"/>
      <name val="Calibri"/>
      <family val="2"/>
      <scheme val="minor"/>
    </font>
    <font>
      <b/>
      <i/>
      <sz val="11"/>
      <name val="Arial Narrow"/>
      <family val="2"/>
    </font>
    <font>
      <b/>
      <sz val="11"/>
      <name val="Arial Narrow"/>
      <family val="2"/>
    </font>
    <font>
      <u/>
      <sz val="10"/>
      <name val="Arial Narrow"/>
      <family val="2"/>
    </font>
    <font>
      <b/>
      <vertAlign val="superscript"/>
      <sz val="10"/>
      <name val="Arial Narrow"/>
      <family val="2"/>
    </font>
  </fonts>
  <fills count="30">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5" tint="0.39997558519241921"/>
        <bgColor indexed="65"/>
      </patternFill>
    </fill>
    <fill>
      <patternFill patternType="solid">
        <fgColor theme="7"/>
      </patternFill>
    </fill>
    <fill>
      <patternFill patternType="solid">
        <fgColor theme="8"/>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499984740745262"/>
        <bgColor indexed="64"/>
      </patternFill>
    </fill>
    <fill>
      <patternFill patternType="solid">
        <fgColor theme="0"/>
        <bgColor indexed="64"/>
      </patternFill>
    </fill>
    <fill>
      <patternFill patternType="solid">
        <fgColor theme="5" tint="-0.499984740745262"/>
        <bgColor indexed="64"/>
      </patternFill>
    </fill>
    <fill>
      <patternFill patternType="solid">
        <fgColor rgb="FFF1F5F9"/>
        <bgColor indexed="64"/>
      </patternFill>
    </fill>
    <fill>
      <patternFill patternType="solid">
        <fgColor rgb="FFE2EAF2"/>
        <bgColor indexed="64"/>
      </patternFill>
    </fill>
    <fill>
      <patternFill patternType="solid">
        <fgColor rgb="FFC3D4E7"/>
        <bgColor indexed="64"/>
      </patternFill>
    </fill>
    <fill>
      <patternFill patternType="solid">
        <fgColor theme="4" tint="-0.499984740745262"/>
        <bgColor indexed="64"/>
      </patternFill>
    </fill>
    <fill>
      <patternFill patternType="solid">
        <fgColor theme="4" tint="-0.499984740745262"/>
        <bgColor rgb="FF000000"/>
      </patternFill>
    </fill>
    <fill>
      <patternFill patternType="solid">
        <fgColor theme="3" tint="-0.499984740745262"/>
        <bgColor rgb="FF000000"/>
      </patternFill>
    </fill>
    <fill>
      <patternFill patternType="solid">
        <fgColor theme="5" tint="-0.499984740745262"/>
        <bgColor indexed="31"/>
      </patternFill>
    </fill>
    <fill>
      <patternFill patternType="solid">
        <fgColor theme="3" tint="-0.249977111117893"/>
        <bgColor indexed="23"/>
      </patternFill>
    </fill>
    <fill>
      <patternFill patternType="solid">
        <fgColor theme="3" tint="-0.499984740745262"/>
        <bgColor indexed="23"/>
      </patternFill>
    </fill>
    <fill>
      <patternFill patternType="solid">
        <fgColor indexed="22"/>
        <bgColor indexed="31"/>
      </patternFill>
    </fill>
    <fill>
      <patternFill patternType="solid">
        <fgColor theme="0" tint="-0.249977111117893"/>
        <bgColor indexed="64"/>
      </patternFill>
    </fill>
    <fill>
      <patternFill patternType="solid">
        <fgColor indexed="55"/>
        <bgColor indexed="23"/>
      </patternFill>
    </fill>
    <fill>
      <patternFill patternType="solid">
        <fgColor rgb="FF365F91"/>
        <bgColor indexed="64"/>
      </patternFill>
    </fill>
    <fill>
      <patternFill patternType="solid">
        <fgColor theme="3" tint="-0.24994659260841701"/>
        <bgColor indexed="64"/>
      </patternFill>
    </fill>
    <fill>
      <patternFill patternType="solid">
        <fgColor theme="3" tint="-0.499984740745262"/>
        <bgColor indexed="31"/>
      </patternFill>
    </fill>
    <fill>
      <patternFill patternType="solid">
        <fgColor rgb="FF640000"/>
        <bgColor indexed="64"/>
      </patternFill>
    </fill>
    <fill>
      <patternFill patternType="solid">
        <fgColor theme="3" tint="-0.249977111117893"/>
        <bgColor indexed="31"/>
      </patternFill>
    </fill>
    <fill>
      <patternFill patternType="solid">
        <fgColor theme="4" tint="-0.249977111117893"/>
        <bgColor indexed="31"/>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right style="medium">
        <color indexed="8"/>
      </right>
      <top/>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right style="medium">
        <color indexed="8"/>
      </right>
      <top/>
      <bottom style="medium">
        <color indexed="8"/>
      </bottom>
      <diagonal/>
    </border>
    <border>
      <left style="medium">
        <color indexed="8"/>
      </left>
      <right/>
      <top/>
      <bottom/>
      <diagonal/>
    </border>
    <border>
      <left style="thin">
        <color indexed="8"/>
      </left>
      <right style="thin">
        <color indexed="8"/>
      </right>
      <top/>
      <bottom style="thin">
        <color indexed="8"/>
      </bottom>
      <diagonal/>
    </border>
    <border>
      <left style="medium">
        <color indexed="8"/>
      </left>
      <right/>
      <top/>
      <bottom style="medium">
        <color indexed="8"/>
      </bottom>
      <diagonal/>
    </border>
    <border>
      <left style="thin">
        <color auto="1"/>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medium">
        <color indexed="8"/>
      </right>
      <top/>
      <bottom style="medium">
        <color indexed="8"/>
      </bottom>
      <diagonal/>
    </border>
  </borders>
  <cellStyleXfs count="6">
    <xf numFmtId="0" fontId="0" fillId="0" borderId="0"/>
    <xf numFmtId="0" fontId="2" fillId="0" borderId="0"/>
    <xf numFmtId="164" fontId="4"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424">
    <xf numFmtId="0" fontId="0" fillId="0" borderId="0" xfId="0"/>
    <xf numFmtId="0" fontId="1" fillId="0" borderId="0" xfId="1" applyFont="1" applyBorder="1" applyAlignment="1">
      <alignment wrapText="1"/>
    </xf>
    <xf numFmtId="0" fontId="0" fillId="0" borderId="1" xfId="0" applyBorder="1"/>
    <xf numFmtId="49" fontId="0" fillId="0" borderId="1" xfId="0" applyNumberFormat="1" applyBorder="1" applyAlignment="1">
      <alignment horizontal="left"/>
    </xf>
    <xf numFmtId="0" fontId="5" fillId="0" borderId="0" xfId="0" applyFont="1" applyAlignment="1">
      <alignment vertical="center"/>
    </xf>
    <xf numFmtId="0" fontId="5" fillId="0" borderId="0" xfId="0" applyFont="1" applyAlignment="1">
      <alignment horizontal="right" vertical="center"/>
    </xf>
    <xf numFmtId="0" fontId="7" fillId="0" borderId="7"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9" fillId="0" borderId="0" xfId="0" applyFont="1" applyAlignment="1">
      <alignment horizontal="center" vertical="center"/>
    </xf>
    <xf numFmtId="0" fontId="10" fillId="9" borderId="1" xfId="0" applyFont="1" applyFill="1" applyBorder="1" applyAlignment="1">
      <alignment vertical="center"/>
    </xf>
    <xf numFmtId="0" fontId="11" fillId="9" borderId="4" xfId="0" applyFont="1" applyFill="1" applyBorder="1" applyAlignment="1">
      <alignment vertical="center" wrapText="1"/>
    </xf>
    <xf numFmtId="4" fontId="12" fillId="9" borderId="6" xfId="0" applyNumberFormat="1" applyFont="1" applyFill="1" applyBorder="1" applyAlignment="1">
      <alignment horizontal="right" vertical="center"/>
    </xf>
    <xf numFmtId="0" fontId="12" fillId="9" borderId="6" xfId="0" applyFont="1" applyFill="1" applyBorder="1" applyAlignment="1">
      <alignment horizontal="right" vertical="center"/>
    </xf>
    <xf numFmtId="0" fontId="12" fillId="10" borderId="0" xfId="0" applyFont="1" applyFill="1" applyAlignment="1">
      <alignment horizontal="right" vertical="center"/>
    </xf>
    <xf numFmtId="0" fontId="12" fillId="10" borderId="0" xfId="0" applyFont="1" applyFill="1" applyAlignment="1">
      <alignment vertical="center"/>
    </xf>
    <xf numFmtId="0" fontId="10" fillId="11" borderId="1" xfId="0" applyFont="1" applyFill="1" applyBorder="1" applyAlignment="1">
      <alignment vertical="center"/>
    </xf>
    <xf numFmtId="0" fontId="11" fillId="11" borderId="1" xfId="0" applyFont="1" applyFill="1" applyBorder="1" applyAlignment="1">
      <alignment vertical="center" wrapText="1"/>
    </xf>
    <xf numFmtId="4" fontId="11" fillId="11" borderId="1" xfId="0" applyNumberFormat="1" applyFont="1" applyFill="1" applyBorder="1" applyAlignment="1">
      <alignment horizontal="right" vertical="center"/>
    </xf>
    <xf numFmtId="0" fontId="13" fillId="0" borderId="0" xfId="0" applyFont="1" applyAlignment="1">
      <alignment horizontal="right" vertical="center"/>
    </xf>
    <xf numFmtId="0" fontId="13" fillId="0" borderId="0" xfId="0" applyFont="1" applyAlignment="1">
      <alignment vertical="center"/>
    </xf>
    <xf numFmtId="0" fontId="14" fillId="0" borderId="1" xfId="0" applyFont="1" applyFill="1" applyBorder="1" applyAlignment="1">
      <alignment vertical="center"/>
    </xf>
    <xf numFmtId="0" fontId="15" fillId="0" borderId="1" xfId="0" applyFont="1" applyFill="1" applyBorder="1" applyAlignment="1">
      <alignment vertical="center" wrapText="1"/>
    </xf>
    <xf numFmtId="4" fontId="15" fillId="0" borderId="1" xfId="2" applyNumberFormat="1" applyFont="1" applyFill="1" applyBorder="1" applyAlignment="1">
      <alignment horizontal="right" vertical="center"/>
    </xf>
    <xf numFmtId="4" fontId="15" fillId="0" borderId="1" xfId="0" applyNumberFormat="1" applyFont="1" applyFill="1" applyBorder="1" applyAlignment="1">
      <alignment horizontal="right" vertical="center"/>
    </xf>
    <xf numFmtId="0" fontId="16" fillId="0" borderId="1" xfId="0" applyFont="1" applyFill="1" applyBorder="1" applyAlignment="1">
      <alignment vertical="center"/>
    </xf>
    <xf numFmtId="0" fontId="17" fillId="0" borderId="1" xfId="0" applyFont="1" applyFill="1" applyBorder="1" applyAlignment="1">
      <alignment vertical="center" wrapText="1"/>
    </xf>
    <xf numFmtId="4" fontId="19" fillId="16" borderId="1" xfId="2" applyNumberFormat="1" applyFont="1" applyFill="1" applyBorder="1" applyAlignment="1">
      <alignment horizontal="right" vertical="center"/>
    </xf>
    <xf numFmtId="4" fontId="6" fillId="0" borderId="0" xfId="2" applyNumberFormat="1" applyFont="1" applyFill="1" applyBorder="1" applyAlignment="1">
      <alignment horizontal="right" vertical="center"/>
    </xf>
    <xf numFmtId="0" fontId="14" fillId="10" borderId="4" xfId="0" applyFont="1" applyFill="1" applyBorder="1" applyAlignment="1">
      <alignment vertical="center"/>
    </xf>
    <xf numFmtId="0" fontId="15" fillId="10" borderId="6" xfId="0" applyFont="1" applyFill="1" applyBorder="1" applyAlignment="1">
      <alignment vertical="center" wrapText="1"/>
    </xf>
    <xf numFmtId="4" fontId="15" fillId="10" borderId="6" xfId="2" applyNumberFormat="1" applyFont="1" applyFill="1" applyBorder="1" applyAlignment="1">
      <alignment horizontal="right" vertical="center"/>
    </xf>
    <xf numFmtId="4" fontId="19" fillId="17" borderId="1" xfId="2" applyNumberFormat="1"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13" fillId="2" borderId="0" xfId="0" applyFont="1" applyFill="1" applyAlignment="1">
      <alignment vertical="center"/>
    </xf>
    <xf numFmtId="0" fontId="12" fillId="9" borderId="0" xfId="0" applyFont="1" applyFill="1" applyAlignment="1">
      <alignment horizontal="center" vertical="center" wrapText="1"/>
    </xf>
    <xf numFmtId="0" fontId="16" fillId="0" borderId="7" xfId="0" applyFont="1" applyBorder="1" applyAlignment="1">
      <alignment vertical="center"/>
    </xf>
    <xf numFmtId="0" fontId="13"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horizontal="center" vertical="center"/>
    </xf>
    <xf numFmtId="0" fontId="15" fillId="0" borderId="0" xfId="0" applyFont="1" applyFill="1" applyAlignment="1">
      <alignment vertical="center" wrapText="1"/>
    </xf>
    <xf numFmtId="49" fontId="15" fillId="0" borderId="0" xfId="0" applyNumberFormat="1" applyFont="1" applyFill="1" applyAlignment="1">
      <alignment horizontal="center" vertical="center"/>
    </xf>
    <xf numFmtId="0" fontId="15" fillId="0" borderId="0" xfId="0" applyFont="1" applyFill="1" applyAlignment="1">
      <alignment horizontal="center" vertical="center"/>
    </xf>
    <xf numFmtId="4" fontId="15"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0" fontId="13"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6" fillId="0" borderId="0" xfId="0" applyFont="1" applyFill="1" applyAlignment="1">
      <alignment vertical="center" wrapText="1"/>
    </xf>
    <xf numFmtId="4" fontId="13" fillId="0" borderId="0" xfId="0" applyNumberFormat="1" applyFont="1" applyFill="1" applyAlignment="1">
      <alignment vertical="center"/>
    </xf>
    <xf numFmtId="49" fontId="15" fillId="0" borderId="0" xfId="0" applyNumberFormat="1" applyFont="1" applyFill="1" applyAlignment="1">
      <alignment vertical="center"/>
    </xf>
    <xf numFmtId="0" fontId="16" fillId="9" borderId="8" xfId="0" applyFont="1" applyFill="1" applyBorder="1" applyAlignment="1">
      <alignment horizontal="left" vertical="center"/>
    </xf>
    <xf numFmtId="0" fontId="10" fillId="9" borderId="8" xfId="0" applyFont="1" applyFill="1" applyBorder="1" applyAlignment="1">
      <alignment horizontal="left" vertical="center" wrapText="1"/>
    </xf>
    <xf numFmtId="49" fontId="13" fillId="9" borderId="8" xfId="0" applyNumberFormat="1" applyFont="1" applyFill="1" applyBorder="1" applyAlignment="1">
      <alignment horizontal="center" vertical="center"/>
    </xf>
    <xf numFmtId="4" fontId="15" fillId="9" borderId="8" xfId="0" applyNumberFormat="1" applyFont="1" applyFill="1" applyBorder="1" applyAlignment="1">
      <alignment horizontal="center" vertical="center"/>
    </xf>
    <xf numFmtId="0" fontId="16" fillId="7" borderId="8" xfId="0" applyFont="1" applyFill="1" applyBorder="1" applyAlignment="1">
      <alignment horizontal="left" vertical="center"/>
    </xf>
    <xf numFmtId="0" fontId="10" fillId="7" borderId="8" xfId="0" applyFont="1" applyFill="1" applyBorder="1" applyAlignment="1">
      <alignment horizontal="left" vertical="center" wrapText="1"/>
    </xf>
    <xf numFmtId="49" fontId="13" fillId="7" borderId="8" xfId="0" applyNumberFormat="1" applyFont="1" applyFill="1" applyBorder="1" applyAlignment="1">
      <alignment horizontal="center" vertical="center"/>
    </xf>
    <xf numFmtId="4" fontId="15" fillId="7" borderId="8" xfId="0" applyNumberFormat="1" applyFont="1" applyFill="1" applyBorder="1" applyAlignment="1">
      <alignment horizontal="center" vertical="center"/>
    </xf>
    <xf numFmtId="1" fontId="10" fillId="3" borderId="8" xfId="0" applyNumberFormat="1" applyFont="1" applyFill="1" applyBorder="1" applyAlignment="1">
      <alignment horizontal="left" vertical="center"/>
    </xf>
    <xf numFmtId="0" fontId="10" fillId="3" borderId="8" xfId="0" applyFont="1" applyFill="1" applyBorder="1" applyAlignment="1">
      <alignment vertical="center" wrapText="1"/>
    </xf>
    <xf numFmtId="49" fontId="12" fillId="3" borderId="8" xfId="0" applyNumberFormat="1" applyFont="1" applyFill="1" applyBorder="1" applyAlignment="1">
      <alignment horizontal="center" vertical="center"/>
    </xf>
    <xf numFmtId="4" fontId="12" fillId="3" borderId="8" xfId="0" applyNumberFormat="1" applyFont="1" applyFill="1" applyBorder="1" applyAlignment="1">
      <alignment horizontal="center" vertical="center"/>
    </xf>
    <xf numFmtId="1" fontId="13" fillId="0" borderId="8" xfId="0" applyNumberFormat="1" applyFont="1" applyFill="1" applyBorder="1" applyAlignment="1">
      <alignment horizontal="left" vertical="center"/>
    </xf>
    <xf numFmtId="0" fontId="15" fillId="0" borderId="8" xfId="0" applyFont="1" applyFill="1" applyBorder="1" applyAlignment="1">
      <alignment horizontal="left" vertical="center" wrapText="1"/>
    </xf>
    <xf numFmtId="49" fontId="13" fillId="0" borderId="8" xfId="0" applyNumberFormat="1" applyFont="1" applyFill="1" applyBorder="1" applyAlignment="1">
      <alignment horizontal="center" vertical="center"/>
    </xf>
    <xf numFmtId="4" fontId="15" fillId="0" borderId="8" xfId="0" applyNumberFormat="1" applyFont="1" applyFill="1" applyBorder="1" applyAlignment="1">
      <alignment horizontal="center" vertical="center"/>
    </xf>
    <xf numFmtId="0" fontId="16" fillId="0" borderId="8" xfId="0" applyFont="1" applyFill="1" applyBorder="1" applyAlignment="1">
      <alignment horizontal="left" vertical="center"/>
    </xf>
    <xf numFmtId="0" fontId="13" fillId="0" borderId="8" xfId="0" applyFont="1" applyFill="1" applyBorder="1" applyAlignment="1">
      <alignment horizontal="left" vertical="center"/>
    </xf>
    <xf numFmtId="0" fontId="15" fillId="0" borderId="8" xfId="0" applyFont="1" applyFill="1" applyBorder="1" applyAlignment="1">
      <alignment horizontal="left" vertical="center"/>
    </xf>
    <xf numFmtId="0" fontId="13" fillId="0" borderId="8" xfId="0" applyFont="1" applyFill="1" applyBorder="1" applyAlignment="1">
      <alignment horizontal="left" vertical="center" wrapText="1"/>
    </xf>
    <xf numFmtId="165" fontId="13" fillId="0" borderId="8" xfId="0" applyNumberFormat="1" applyFont="1" applyFill="1" applyBorder="1" applyAlignment="1">
      <alignment vertical="center"/>
    </xf>
    <xf numFmtId="0" fontId="16" fillId="0" borderId="8" xfId="0" applyFont="1" applyFill="1" applyBorder="1" applyAlignment="1">
      <alignment horizontal="left" vertical="center" wrapText="1"/>
    </xf>
    <xf numFmtId="0" fontId="13" fillId="0" borderId="8" xfId="0" applyFont="1" applyFill="1" applyBorder="1" applyAlignment="1">
      <alignment vertical="center"/>
    </xf>
    <xf numFmtId="0" fontId="13" fillId="7" borderId="8" xfId="0" applyFont="1" applyFill="1" applyBorder="1" applyAlignment="1">
      <alignment horizontal="left" vertical="center"/>
    </xf>
    <xf numFmtId="0" fontId="12" fillId="7" borderId="8" xfId="0" applyFont="1" applyFill="1" applyBorder="1" applyAlignment="1">
      <alignment horizontal="left" vertical="center" wrapText="1"/>
    </xf>
    <xf numFmtId="4" fontId="12" fillId="7" borderId="8" xfId="0" applyNumberFormat="1" applyFont="1" applyFill="1" applyBorder="1" applyAlignment="1">
      <alignment horizontal="center" vertical="center"/>
    </xf>
    <xf numFmtId="0" fontId="13" fillId="9" borderId="8" xfId="0" applyFont="1" applyFill="1" applyBorder="1" applyAlignment="1">
      <alignment horizontal="left" vertical="center"/>
    </xf>
    <xf numFmtId="4" fontId="10" fillId="9" borderId="8" xfId="0" applyNumberFormat="1" applyFont="1" applyFill="1" applyBorder="1" applyAlignment="1">
      <alignment horizontal="center" vertical="center"/>
    </xf>
    <xf numFmtId="0" fontId="10" fillId="7" borderId="8" xfId="0" applyFont="1" applyFill="1" applyBorder="1" applyAlignment="1">
      <alignment horizontal="left" vertical="center"/>
    </xf>
    <xf numFmtId="49" fontId="12" fillId="7" borderId="8" xfId="0" applyNumberFormat="1" applyFont="1" applyFill="1" applyBorder="1" applyAlignment="1">
      <alignment horizontal="center" vertical="center"/>
    </xf>
    <xf numFmtId="0" fontId="11" fillId="9" borderId="8" xfId="0" applyFont="1" applyFill="1" applyBorder="1" applyAlignment="1">
      <alignment horizontal="left" vertical="center"/>
    </xf>
    <xf numFmtId="49" fontId="12" fillId="9" borderId="8" xfId="0" applyNumberFormat="1" applyFont="1" applyFill="1" applyBorder="1" applyAlignment="1">
      <alignment horizontal="center" vertical="center"/>
    </xf>
    <xf numFmtId="4" fontId="12" fillId="9" borderId="8" xfId="0" applyNumberFormat="1" applyFont="1" applyFill="1" applyBorder="1" applyAlignment="1">
      <alignment horizontal="center" vertical="center"/>
    </xf>
    <xf numFmtId="0" fontId="13" fillId="10" borderId="0" xfId="0" applyFont="1" applyFill="1" applyAlignment="1">
      <alignment vertical="center"/>
    </xf>
    <xf numFmtId="0" fontId="12" fillId="9" borderId="0" xfId="0" applyFont="1" applyFill="1" applyAlignment="1">
      <alignment horizontal="center" vertical="center"/>
    </xf>
    <xf numFmtId="0" fontId="13"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49" fontId="13" fillId="0" borderId="10" xfId="0" applyNumberFormat="1" applyFont="1" applyFill="1" applyBorder="1" applyAlignment="1">
      <alignment horizontal="center" vertical="center"/>
    </xf>
    <xf numFmtId="4" fontId="15" fillId="0" borderId="10" xfId="0" applyNumberFormat="1" applyFont="1" applyFill="1" applyBorder="1" applyAlignment="1">
      <alignment horizontal="center" vertical="center"/>
    </xf>
    <xf numFmtId="0" fontId="25" fillId="11" borderId="1" xfId="0" applyFont="1" applyFill="1" applyBorder="1" applyAlignment="1">
      <alignment horizontal="center" vertical="center"/>
    </xf>
    <xf numFmtId="49" fontId="25" fillId="11" borderId="1" xfId="0" applyNumberFormat="1" applyFont="1" applyFill="1" applyBorder="1" applyAlignment="1">
      <alignment horizontal="center" vertical="center"/>
    </xf>
    <xf numFmtId="0" fontId="13" fillId="0" borderId="7" xfId="0" applyFont="1" applyFill="1" applyBorder="1" applyAlignment="1">
      <alignment vertical="center"/>
    </xf>
    <xf numFmtId="0" fontId="15" fillId="0" borderId="7" xfId="0" applyFont="1" applyFill="1" applyBorder="1" applyAlignment="1">
      <alignment vertical="center" wrapText="1"/>
    </xf>
    <xf numFmtId="49" fontId="15" fillId="0" borderId="7" xfId="0" applyNumberFormat="1" applyFont="1" applyFill="1" applyBorder="1" applyAlignment="1">
      <alignment horizontal="center" vertical="center"/>
    </xf>
    <xf numFmtId="0" fontId="15" fillId="0" borderId="7" xfId="0" applyFont="1" applyFill="1" applyBorder="1" applyAlignment="1">
      <alignment horizontal="center" vertical="center"/>
    </xf>
    <xf numFmtId="4" fontId="16" fillId="0" borderId="7" xfId="0" applyNumberFormat="1" applyFont="1" applyBorder="1" applyAlignment="1">
      <alignment vertical="center" wrapText="1" shrinkToFit="1"/>
    </xf>
    <xf numFmtId="0" fontId="10" fillId="9" borderId="8" xfId="0" applyFont="1" applyFill="1" applyBorder="1" applyAlignment="1">
      <alignment horizontal="left" vertical="center"/>
    </xf>
    <xf numFmtId="4" fontId="12" fillId="0" borderId="0" xfId="0" applyNumberFormat="1" applyFont="1" applyFill="1" applyAlignment="1">
      <alignment horizontal="center" vertical="center"/>
    </xf>
    <xf numFmtId="0" fontId="12" fillId="0" borderId="0" xfId="0" applyFont="1" applyFill="1" applyAlignment="1">
      <alignment vertical="center"/>
    </xf>
    <xf numFmtId="0" fontId="13" fillId="0" borderId="8" xfId="0" applyFont="1" applyFill="1" applyBorder="1" applyAlignment="1">
      <alignment vertical="center" wrapText="1"/>
    </xf>
    <xf numFmtId="0" fontId="15" fillId="0" borderId="8" xfId="0" applyFont="1" applyFill="1" applyBorder="1" applyAlignment="1">
      <alignment vertical="center" wrapText="1"/>
    </xf>
    <xf numFmtId="4" fontId="13" fillId="0" borderId="8" xfId="0" applyNumberFormat="1" applyFont="1" applyFill="1" applyBorder="1" applyAlignment="1">
      <alignment vertical="center"/>
    </xf>
    <xf numFmtId="0" fontId="13" fillId="0" borderId="0" xfId="0" applyFont="1" applyFill="1" applyBorder="1" applyAlignment="1">
      <alignment vertical="center" wrapText="1"/>
    </xf>
    <xf numFmtId="0" fontId="10" fillId="11" borderId="8" xfId="0" applyFont="1" applyFill="1" applyBorder="1" applyAlignment="1">
      <alignment vertical="center" wrapText="1"/>
    </xf>
    <xf numFmtId="49" fontId="12" fillId="11" borderId="8" xfId="0" applyNumberFormat="1" applyFont="1" applyFill="1" applyBorder="1" applyAlignment="1">
      <alignment horizontal="center" vertical="center"/>
    </xf>
    <xf numFmtId="0" fontId="12" fillId="9" borderId="8" xfId="0" applyFont="1" applyFill="1" applyBorder="1" applyAlignment="1">
      <alignment horizontal="left" vertical="center"/>
    </xf>
    <xf numFmtId="0" fontId="10" fillId="9" borderId="8" xfId="0" applyFont="1" applyFill="1" applyBorder="1" applyAlignment="1">
      <alignment vertical="center" wrapText="1"/>
    </xf>
    <xf numFmtId="0" fontId="13" fillId="11" borderId="8" xfId="0" applyFont="1" applyFill="1" applyBorder="1" applyAlignment="1">
      <alignment vertical="center"/>
    </xf>
    <xf numFmtId="4" fontId="12" fillId="11" borderId="8" xfId="0" applyNumberFormat="1" applyFont="1" applyFill="1" applyBorder="1" applyAlignment="1">
      <alignment horizontal="center" vertical="center"/>
    </xf>
    <xf numFmtId="0" fontId="19" fillId="11" borderId="1" xfId="0" applyFont="1" applyFill="1" applyBorder="1" applyAlignment="1">
      <alignment horizontal="center" vertical="center"/>
    </xf>
    <xf numFmtId="49" fontId="19" fillId="11" borderId="1" xfId="0" applyNumberFormat="1" applyFont="1" applyFill="1" applyBorder="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vertical="center"/>
    </xf>
    <xf numFmtId="0" fontId="8" fillId="9" borderId="13" xfId="0" applyFont="1" applyFill="1" applyBorder="1" applyAlignment="1">
      <alignment horizontal="center" vertical="center" wrapText="1"/>
    </xf>
    <xf numFmtId="0" fontId="13" fillId="2" borderId="0" xfId="0" applyFont="1" applyFill="1" applyAlignment="1">
      <alignment horizontal="center" vertical="center"/>
    </xf>
    <xf numFmtId="0" fontId="8" fillId="3" borderId="16" xfId="0" applyFont="1" applyFill="1" applyBorder="1" applyAlignment="1">
      <alignment horizontal="right" vertical="center" wrapText="1"/>
    </xf>
    <xf numFmtId="0" fontId="9" fillId="0" borderId="0" xfId="0" applyFont="1" applyAlignment="1">
      <alignment vertical="center"/>
    </xf>
    <xf numFmtId="0" fontId="32" fillId="0" borderId="0" xfId="0" applyFont="1" applyAlignment="1">
      <alignment vertical="center"/>
    </xf>
    <xf numFmtId="4" fontId="27" fillId="0" borderId="16" xfId="0" applyNumberFormat="1" applyFont="1" applyBorder="1" applyAlignment="1">
      <alignment horizontal="left" vertical="center" wrapText="1"/>
    </xf>
    <xf numFmtId="4" fontId="26" fillId="0" borderId="16" xfId="0" applyNumberFormat="1" applyFont="1" applyBorder="1" applyAlignment="1">
      <alignment horizontal="left" vertical="center" wrapText="1"/>
    </xf>
    <xf numFmtId="4" fontId="26" fillId="0" borderId="16" xfId="0" applyNumberFormat="1" applyFont="1" applyBorder="1" applyAlignment="1">
      <alignment horizontal="center" vertical="center" wrapText="1"/>
    </xf>
    <xf numFmtId="4" fontId="27" fillId="0" borderId="16" xfId="0" applyNumberFormat="1" applyFont="1" applyFill="1" applyBorder="1" applyAlignment="1">
      <alignment horizontal="left" vertical="center" wrapText="1"/>
    </xf>
    <xf numFmtId="0" fontId="26" fillId="0" borderId="0" xfId="0" applyFont="1" applyBorder="1" applyAlignment="1">
      <alignment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4" fontId="15" fillId="0" borderId="16" xfId="0" applyNumberFormat="1" applyFont="1" applyBorder="1" applyAlignment="1">
      <alignment horizontal="center" vertical="center" wrapText="1"/>
    </xf>
    <xf numFmtId="0" fontId="29"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33" fillId="0" borderId="0" xfId="0" applyFont="1" applyAlignment="1">
      <alignment vertical="center"/>
    </xf>
    <xf numFmtId="0" fontId="34" fillId="0" borderId="0" xfId="0" applyFont="1" applyAlignment="1">
      <alignment vertical="center"/>
    </xf>
    <xf numFmtId="0" fontId="22" fillId="7" borderId="12" xfId="0" applyFont="1" applyFill="1" applyBorder="1" applyAlignment="1">
      <alignment horizontal="left" vertical="center" wrapText="1"/>
    </xf>
    <xf numFmtId="0" fontId="8" fillId="3" borderId="16" xfId="0" applyFont="1" applyFill="1" applyBorder="1" applyAlignment="1">
      <alignment horizontal="left" vertical="center" wrapText="1"/>
    </xf>
    <xf numFmtId="4" fontId="22" fillId="18" borderId="16" xfId="0" applyNumberFormat="1" applyFont="1" applyFill="1" applyBorder="1" applyAlignment="1">
      <alignment horizontal="left" vertical="center" wrapText="1"/>
    </xf>
    <xf numFmtId="4" fontId="22" fillId="18" borderId="16" xfId="0" applyNumberFormat="1" applyFont="1" applyFill="1" applyBorder="1" applyAlignment="1">
      <alignment horizontal="center" vertical="center" wrapText="1"/>
    </xf>
    <xf numFmtId="4" fontId="8" fillId="19" borderId="16" xfId="0" applyNumberFormat="1" applyFont="1" applyFill="1" applyBorder="1" applyAlignment="1">
      <alignment vertical="center" wrapText="1"/>
    </xf>
    <xf numFmtId="4" fontId="8" fillId="19" borderId="16" xfId="0" applyNumberFormat="1" applyFont="1" applyFill="1" applyBorder="1" applyAlignment="1">
      <alignment horizontal="center" vertical="center" wrapText="1"/>
    </xf>
    <xf numFmtId="4" fontId="8" fillId="20" borderId="16" xfId="0" applyNumberFormat="1" applyFont="1" applyFill="1" applyBorder="1" applyAlignment="1">
      <alignment horizontal="center" vertical="center" wrapText="1"/>
    </xf>
    <xf numFmtId="4" fontId="26" fillId="0" borderId="9" xfId="0" applyNumberFormat="1" applyFont="1" applyBorder="1" applyAlignment="1">
      <alignment vertical="center" wrapText="1"/>
    </xf>
    <xf numFmtId="0" fontId="8" fillId="9"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4" fontId="8" fillId="20" borderId="16" xfId="0" applyNumberFormat="1" applyFont="1" applyFill="1" applyBorder="1" applyAlignment="1">
      <alignment horizontal="left" vertical="center" wrapText="1"/>
    </xf>
    <xf numFmtId="49" fontId="0" fillId="0" borderId="1" xfId="0" applyNumberFormat="1" applyBorder="1"/>
    <xf numFmtId="0" fontId="5" fillId="0" borderId="0" xfId="0" applyFont="1" applyAlignment="1">
      <alignment horizontal="center" vertical="center"/>
    </xf>
    <xf numFmtId="0" fontId="12" fillId="9" borderId="6" xfId="0" applyFont="1" applyFill="1" applyBorder="1" applyAlignment="1">
      <alignment horizontal="center" vertical="center"/>
    </xf>
    <xf numFmtId="4" fontId="11" fillId="11" borderId="1" xfId="0" applyNumberFormat="1" applyFont="1" applyFill="1" applyBorder="1" applyAlignment="1">
      <alignment horizontal="center" vertical="center"/>
    </xf>
    <xf numFmtId="4" fontId="15" fillId="0" borderId="1" xfId="2" applyNumberFormat="1" applyFont="1" applyFill="1" applyBorder="1" applyAlignment="1">
      <alignment horizontal="center" vertical="center"/>
    </xf>
    <xf numFmtId="4" fontId="19" fillId="16" borderId="1" xfId="2" applyNumberFormat="1" applyFont="1" applyFill="1" applyBorder="1" applyAlignment="1">
      <alignment horizontal="center" vertical="center"/>
    </xf>
    <xf numFmtId="4" fontId="15" fillId="10" borderId="6" xfId="2" applyNumberFormat="1" applyFont="1" applyFill="1" applyBorder="1" applyAlignment="1">
      <alignment horizontal="center" vertical="center"/>
    </xf>
    <xf numFmtId="4" fontId="19" fillId="17" borderId="1" xfId="2" applyNumberFormat="1" applyFont="1" applyFill="1" applyBorder="1" applyAlignment="1">
      <alignment horizontal="center" vertical="center"/>
    </xf>
    <xf numFmtId="0" fontId="16" fillId="0" borderId="0" xfId="0" applyFont="1" applyFill="1" applyBorder="1" applyAlignment="1">
      <alignment horizontal="center" vertical="center"/>
    </xf>
    <xf numFmtId="0" fontId="13" fillId="0" borderId="0" xfId="0" applyFont="1" applyAlignment="1">
      <alignment horizontal="center" vertical="center"/>
    </xf>
    <xf numFmtId="4" fontId="15" fillId="12" borderId="1" xfId="2" applyNumberFormat="1" applyFont="1" applyFill="1" applyBorder="1" applyAlignment="1">
      <alignment horizontal="center" vertical="center"/>
    </xf>
    <xf numFmtId="4" fontId="15" fillId="13" borderId="1" xfId="5" applyNumberFormat="1" applyFont="1" applyFill="1" applyBorder="1" applyAlignment="1">
      <alignment horizontal="center" vertical="center"/>
    </xf>
    <xf numFmtId="4" fontId="12" fillId="10" borderId="6" xfId="5" applyNumberFormat="1" applyFont="1" applyFill="1" applyBorder="1" applyAlignment="1">
      <alignment horizontal="center" vertical="center"/>
    </xf>
    <xf numFmtId="0" fontId="12" fillId="9" borderId="5" xfId="0" applyFont="1" applyFill="1" applyBorder="1" applyAlignment="1">
      <alignment horizontal="center" vertical="center"/>
    </xf>
    <xf numFmtId="4" fontId="15" fillId="14" borderId="1" xfId="5" applyNumberFormat="1" applyFont="1" applyFill="1" applyBorder="1" applyAlignment="1">
      <alignment horizontal="center" vertical="center"/>
    </xf>
    <xf numFmtId="4" fontId="15" fillId="0" borderId="8" xfId="0" applyNumberFormat="1" applyFont="1" applyFill="1" applyBorder="1" applyAlignment="1" applyProtection="1">
      <alignment horizontal="center" vertical="center"/>
    </xf>
    <xf numFmtId="4" fontId="15" fillId="0" borderId="8" xfId="2" applyNumberFormat="1" applyFont="1" applyFill="1" applyBorder="1" applyAlignment="1" applyProtection="1">
      <alignment horizontal="right" vertical="center"/>
    </xf>
    <xf numFmtId="4" fontId="15" fillId="0" borderId="8" xfId="2" applyNumberFormat="1" applyFont="1" applyFill="1" applyBorder="1" applyAlignment="1" applyProtection="1">
      <alignment horizontal="center" vertical="center"/>
    </xf>
    <xf numFmtId="4" fontId="15" fillId="0" borderId="8" xfId="0" applyNumberFormat="1" applyFont="1" applyFill="1" applyBorder="1" applyAlignment="1" applyProtection="1">
      <alignment horizontal="right" vertical="center"/>
    </xf>
    <xf numFmtId="0" fontId="21" fillId="0" borderId="0" xfId="0" applyFont="1" applyBorder="1" applyAlignment="1">
      <alignment horizontal="center" vertical="center"/>
    </xf>
    <xf numFmtId="49" fontId="24"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7" borderId="1"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7" borderId="4" xfId="4" applyFont="1" applyFill="1" applyBorder="1" applyAlignment="1">
      <alignment horizontal="center" vertical="center" wrapText="1"/>
    </xf>
    <xf numFmtId="0" fontId="8" fillId="7" borderId="6" xfId="4" applyFont="1" applyFill="1" applyBorder="1" applyAlignment="1">
      <alignment horizontal="center" vertical="center" wrapText="1"/>
    </xf>
    <xf numFmtId="0" fontId="8" fillId="7" borderId="5" xfId="4"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7" borderId="4" xfId="3" applyFont="1" applyFill="1" applyBorder="1" applyAlignment="1">
      <alignment horizontal="center" vertical="center" wrapText="1"/>
    </xf>
    <xf numFmtId="0" fontId="8" fillId="7" borderId="6" xfId="3" applyFont="1" applyFill="1" applyBorder="1" applyAlignment="1">
      <alignment horizontal="center" vertical="center" wrapText="1"/>
    </xf>
    <xf numFmtId="0" fontId="8" fillId="7" borderId="5" xfId="3" applyFont="1" applyFill="1" applyBorder="1" applyAlignment="1">
      <alignment horizontal="center" vertical="center" wrapText="1"/>
    </xf>
    <xf numFmtId="0" fontId="8" fillId="7" borderId="1" xfId="3" applyFont="1" applyFill="1" applyBorder="1" applyAlignment="1">
      <alignment horizontal="center" vertical="center" wrapText="1"/>
    </xf>
    <xf numFmtId="0" fontId="8" fillId="7" borderId="1" xfId="4" applyFont="1" applyFill="1" applyBorder="1" applyAlignment="1">
      <alignment horizontal="center" vertical="center" wrapText="1"/>
    </xf>
    <xf numFmtId="0" fontId="20" fillId="0" borderId="0" xfId="0" applyFont="1" applyFill="1" applyBorder="1" applyAlignment="1">
      <alignment horizontal="left" vertical="center"/>
    </xf>
    <xf numFmtId="0" fontId="12" fillId="9" borderId="0" xfId="0" applyFont="1" applyFill="1" applyAlignment="1">
      <alignment horizontal="center" vertical="center" wrapText="1"/>
    </xf>
    <xf numFmtId="0" fontId="18" fillId="15" borderId="1"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8" fillId="9" borderId="16" xfId="0" applyFont="1" applyFill="1" applyBorder="1" applyAlignment="1">
      <alignment horizontal="center" vertical="center" wrapText="1"/>
    </xf>
    <xf numFmtId="0" fontId="31"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23" fillId="2" borderId="9" xfId="0" applyFont="1" applyFill="1" applyBorder="1" applyAlignment="1">
      <alignment horizontal="left" vertical="top"/>
    </xf>
    <xf numFmtId="0" fontId="13" fillId="2" borderId="0" xfId="0" applyFont="1" applyFill="1" applyAlignment="1">
      <alignment horizontal="center" vertical="center" wrapText="1"/>
    </xf>
    <xf numFmtId="0" fontId="26"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23" fillId="2" borderId="9" xfId="0" applyFont="1" applyFill="1" applyBorder="1" applyAlignment="1">
      <alignment horizontal="left" vertical="top" wrapText="1"/>
    </xf>
    <xf numFmtId="0" fontId="8" fillId="9" borderId="14" xfId="0" applyFont="1" applyFill="1" applyBorder="1" applyAlignment="1">
      <alignment horizontal="center" vertical="center" wrapText="1"/>
    </xf>
    <xf numFmtId="0" fontId="23" fillId="0" borderId="0" xfId="0" applyFont="1" applyBorder="1" applyAlignment="1">
      <alignment horizontal="left" vertical="top" wrapText="1"/>
    </xf>
    <xf numFmtId="0" fontId="30"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8" fillId="9" borderId="15" xfId="0" applyFont="1" applyFill="1" applyBorder="1" applyAlignment="1">
      <alignment horizontal="center" vertical="center" wrapText="1"/>
    </xf>
    <xf numFmtId="164" fontId="0" fillId="0" borderId="0" xfId="2" applyFont="1"/>
    <xf numFmtId="0" fontId="1" fillId="0" borderId="0" xfId="0" applyFont="1" applyBorder="1" applyAlignment="1">
      <alignment horizontal="center"/>
    </xf>
    <xf numFmtId="0" fontId="0" fillId="0" borderId="0" xfId="0" applyBorder="1"/>
    <xf numFmtId="164" fontId="0" fillId="0" borderId="0" xfId="2" applyFont="1" applyBorder="1"/>
    <xf numFmtId="0" fontId="37" fillId="0" borderId="0" xfId="0" applyFont="1" applyBorder="1" applyAlignment="1">
      <alignment horizontal="right"/>
    </xf>
    <xf numFmtId="0" fontId="38" fillId="0" borderId="18" xfId="0" applyFont="1" applyBorder="1" applyAlignment="1">
      <alignment horizontal="center" vertical="center"/>
    </xf>
    <xf numFmtId="164" fontId="38" fillId="0" borderId="19" xfId="2" applyFont="1" applyBorder="1" applyAlignment="1">
      <alignment horizontal="center" vertical="center"/>
    </xf>
    <xf numFmtId="164" fontId="39" fillId="0" borderId="19" xfId="2" applyFont="1" applyBorder="1" applyAlignment="1">
      <alignment horizontal="center" vertical="center" wrapText="1"/>
    </xf>
    <xf numFmtId="0" fontId="39" fillId="0" borderId="20" xfId="0" applyFont="1" applyBorder="1" applyAlignment="1">
      <alignment horizontal="center" vertical="center" wrapText="1"/>
    </xf>
    <xf numFmtId="164" fontId="38" fillId="0" borderId="21" xfId="2" applyFont="1" applyBorder="1" applyAlignment="1">
      <alignment horizontal="center" vertical="center"/>
    </xf>
    <xf numFmtId="164" fontId="38" fillId="0" borderId="22" xfId="2" applyFont="1" applyBorder="1" applyAlignment="1">
      <alignment horizontal="center" vertical="center"/>
    </xf>
    <xf numFmtId="164" fontId="38" fillId="0" borderId="23" xfId="2" applyFont="1" applyBorder="1" applyAlignment="1">
      <alignment horizontal="center" vertical="center"/>
    </xf>
    <xf numFmtId="0" fontId="38" fillId="0" borderId="24" xfId="0" applyFont="1" applyBorder="1" applyAlignment="1">
      <alignment horizontal="center"/>
    </xf>
    <xf numFmtId="0" fontId="38" fillId="0" borderId="25" xfId="0" applyFont="1" applyBorder="1" applyAlignment="1">
      <alignment horizontal="center"/>
    </xf>
    <xf numFmtId="164" fontId="39" fillId="0" borderId="26" xfId="2" applyFont="1" applyBorder="1" applyAlignment="1">
      <alignment horizontal="center" vertical="center" wrapText="1"/>
    </xf>
    <xf numFmtId="0" fontId="38" fillId="0" borderId="27" xfId="0" applyFont="1" applyBorder="1" applyAlignment="1">
      <alignment horizontal="center"/>
    </xf>
    <xf numFmtId="0" fontId="38" fillId="0" borderId="28" xfId="0" applyFont="1" applyBorder="1" applyAlignment="1">
      <alignment horizontal="center"/>
    </xf>
    <xf numFmtId="0" fontId="0" fillId="0" borderId="29" xfId="0" applyBorder="1"/>
    <xf numFmtId="164" fontId="0" fillId="0" borderId="2" xfId="2" applyFont="1" applyBorder="1"/>
    <xf numFmtId="164" fontId="0" fillId="0" borderId="3" xfId="2" applyFont="1" applyBorder="1"/>
    <xf numFmtId="0" fontId="0" fillId="0" borderId="2" xfId="0" applyBorder="1"/>
    <xf numFmtId="0" fontId="0" fillId="0" borderId="25" xfId="0" applyBorder="1"/>
    <xf numFmtId="0" fontId="38" fillId="0" borderId="22" xfId="0" applyFont="1" applyBorder="1" applyAlignment="1">
      <alignment horizontal="left"/>
    </xf>
    <xf numFmtId="164" fontId="0" fillId="0" borderId="22" xfId="2" applyFont="1" applyBorder="1"/>
    <xf numFmtId="0" fontId="0" fillId="0" borderId="22" xfId="0" applyBorder="1"/>
    <xf numFmtId="0" fontId="2" fillId="0" borderId="22" xfId="0" applyFont="1" applyBorder="1" applyAlignment="1">
      <alignment horizontal="left" wrapText="1" indent="3"/>
    </xf>
    <xf numFmtId="164" fontId="40" fillId="0" borderId="22" xfId="2" applyFont="1" applyBorder="1" applyAlignment="1">
      <alignment horizontal="center"/>
    </xf>
    <xf numFmtId="0" fontId="38" fillId="0" borderId="22" xfId="0" applyFont="1" applyBorder="1" applyAlignment="1">
      <alignment horizontal="center"/>
    </xf>
    <xf numFmtId="164" fontId="41" fillId="0" borderId="22" xfId="2" applyFont="1" applyBorder="1" applyAlignment="1">
      <alignment horizontal="center"/>
    </xf>
    <xf numFmtId="0" fontId="2" fillId="0" borderId="22" xfId="0" applyFont="1" applyBorder="1" applyAlignment="1">
      <alignment horizontal="center"/>
    </xf>
    <xf numFmtId="164" fontId="41" fillId="0" borderId="22" xfId="2" applyFont="1" applyFill="1" applyBorder="1" applyAlignment="1">
      <alignment horizontal="center"/>
    </xf>
    <xf numFmtId="166" fontId="2" fillId="0" borderId="22" xfId="0" applyNumberFormat="1" applyFont="1" applyBorder="1" applyAlignment="1">
      <alignment horizontal="center"/>
    </xf>
    <xf numFmtId="0" fontId="42" fillId="21" borderId="22" xfId="0" applyFont="1" applyFill="1" applyBorder="1" applyAlignment="1">
      <alignment horizontal="left" wrapText="1"/>
    </xf>
    <xf numFmtId="164" fontId="40" fillId="22" borderId="22" xfId="2" applyFont="1" applyFill="1" applyBorder="1" applyAlignment="1">
      <alignment horizontal="center"/>
    </xf>
    <xf numFmtId="166" fontId="38" fillId="22" borderId="22" xfId="0" applyNumberFormat="1" applyFont="1" applyFill="1" applyBorder="1" applyAlignment="1">
      <alignment horizontal="center"/>
    </xf>
    <xf numFmtId="164" fontId="0" fillId="0" borderId="2" xfId="2" applyFont="1" applyFill="1" applyBorder="1"/>
    <xf numFmtId="164" fontId="0" fillId="0" borderId="22" xfId="2" applyFont="1" applyFill="1" applyBorder="1"/>
    <xf numFmtId="0" fontId="2" fillId="0" borderId="22" xfId="0" applyFont="1" applyBorder="1" applyAlignment="1">
      <alignment horizontal="left" wrapText="1" indent="5"/>
    </xf>
    <xf numFmtId="0" fontId="42" fillId="21" borderId="29" xfId="0" applyFont="1" applyFill="1" applyBorder="1" applyAlignment="1">
      <alignment horizontal="left" wrapText="1"/>
    </xf>
    <xf numFmtId="164" fontId="40" fillId="21" borderId="30" xfId="2" applyFont="1" applyFill="1" applyBorder="1" applyAlignment="1">
      <alignment horizontal="center"/>
    </xf>
    <xf numFmtId="0" fontId="42" fillId="23" borderId="29" xfId="0" applyFont="1" applyFill="1" applyBorder="1" applyAlignment="1">
      <alignment horizontal="left" wrapText="1"/>
    </xf>
    <xf numFmtId="164" fontId="0" fillId="23" borderId="2" xfId="2" applyFont="1" applyFill="1" applyBorder="1"/>
    <xf numFmtId="0" fontId="0" fillId="23" borderId="2" xfId="0" applyFill="1" applyBorder="1"/>
    <xf numFmtId="0" fontId="0" fillId="23" borderId="25" xfId="0" applyFill="1" applyBorder="1"/>
    <xf numFmtId="0" fontId="38" fillId="23" borderId="31" xfId="0" applyFont="1" applyFill="1" applyBorder="1" applyAlignment="1">
      <alignment horizontal="left" wrapText="1"/>
    </xf>
    <xf numFmtId="164" fontId="40" fillId="23" borderId="27" xfId="2" applyFont="1" applyFill="1" applyBorder="1" applyAlignment="1">
      <alignment horizontal="center"/>
    </xf>
    <xf numFmtId="166" fontId="38" fillId="0" borderId="22" xfId="0" applyNumberFormat="1" applyFont="1" applyBorder="1" applyAlignment="1">
      <alignment horizontal="center"/>
    </xf>
    <xf numFmtId="0" fontId="38" fillId="0" borderId="0" xfId="0" applyFont="1"/>
    <xf numFmtId="164" fontId="38" fillId="0" borderId="0" xfId="2" applyFont="1"/>
    <xf numFmtId="0" fontId="42" fillId="0" borderId="0" xfId="0" applyFont="1"/>
    <xf numFmtId="0" fontId="44" fillId="24" borderId="8" xfId="0" applyFont="1" applyFill="1" applyBorder="1" applyAlignment="1">
      <alignment horizontal="center" vertical="center"/>
    </xf>
    <xf numFmtId="0" fontId="44" fillId="24" borderId="8" xfId="0" applyFont="1" applyFill="1" applyBorder="1" applyAlignment="1">
      <alignment horizontal="center" vertical="center" wrapText="1"/>
    </xf>
    <xf numFmtId="166" fontId="45" fillId="0" borderId="8" xfId="0" applyNumberFormat="1" applyFont="1" applyBorder="1" applyAlignment="1">
      <alignment horizontal="center" vertical="center"/>
    </xf>
    <xf numFmtId="166" fontId="45" fillId="0" borderId="8" xfId="0" applyNumberFormat="1" applyFont="1" applyBorder="1" applyAlignment="1">
      <alignment horizontal="left" vertical="center" wrapText="1"/>
    </xf>
    <xf numFmtId="0" fontId="45" fillId="0" borderId="8" xfId="0" applyFont="1" applyBorder="1" applyAlignment="1">
      <alignment horizontal="center" vertical="center" wrapText="1"/>
    </xf>
    <xf numFmtId="166" fontId="46" fillId="0" borderId="8" xfId="0" applyNumberFormat="1" applyFont="1" applyBorder="1" applyAlignment="1">
      <alignment horizontal="center" vertical="center"/>
    </xf>
    <xf numFmtId="166" fontId="45" fillId="0" borderId="8" xfId="0" applyNumberFormat="1" applyFont="1" applyBorder="1" applyAlignment="1">
      <alignment horizontal="center" vertical="center" wrapText="1"/>
    </xf>
    <xf numFmtId="166" fontId="47" fillId="0" borderId="8" xfId="0" applyNumberFormat="1" applyFont="1" applyFill="1" applyBorder="1" applyAlignment="1">
      <alignment horizontal="center" vertical="center"/>
    </xf>
    <xf numFmtId="0" fontId="48" fillId="0" borderId="8" xfId="0" applyFont="1" applyBorder="1" applyAlignment="1">
      <alignment horizontal="center" vertical="center"/>
    </xf>
    <xf numFmtId="166" fontId="48" fillId="0" borderId="8" xfId="0" applyNumberFormat="1" applyFont="1" applyBorder="1" applyAlignment="1">
      <alignment horizontal="center" vertical="center"/>
    </xf>
    <xf numFmtId="0" fontId="49" fillId="0" borderId="8" xfId="0" applyFont="1" applyBorder="1" applyAlignment="1">
      <alignment horizontal="center" vertical="center" wrapText="1"/>
    </xf>
    <xf numFmtId="0" fontId="44" fillId="24" borderId="32" xfId="0" applyFont="1" applyFill="1" applyBorder="1" applyAlignment="1">
      <alignment horizontal="center" vertical="center" wrapText="1"/>
    </xf>
    <xf numFmtId="0" fontId="44" fillId="24" borderId="0" xfId="0" applyFont="1" applyFill="1" applyBorder="1" applyAlignment="1">
      <alignment horizontal="center" vertical="center" wrapText="1"/>
    </xf>
    <xf numFmtId="166" fontId="46" fillId="0" borderId="8" xfId="0" applyNumberFormat="1" applyFont="1" applyBorder="1" applyAlignment="1">
      <alignment horizontal="left" vertical="center"/>
    </xf>
    <xf numFmtId="0" fontId="45" fillId="0" borderId="8" xfId="0" applyFont="1" applyBorder="1" applyAlignment="1">
      <alignment horizontal="center" vertical="center" wrapText="1"/>
    </xf>
    <xf numFmtId="166" fontId="45" fillId="0" borderId="8" xfId="0" applyNumberFormat="1" applyFont="1" applyBorder="1" applyAlignment="1">
      <alignment horizontal="left" vertical="center"/>
    </xf>
    <xf numFmtId="166" fontId="45" fillId="0" borderId="8" xfId="0" applyNumberFormat="1" applyFont="1" applyFill="1" applyBorder="1" applyAlignment="1">
      <alignment horizontal="center" vertical="center"/>
    </xf>
    <xf numFmtId="0" fontId="45" fillId="0" borderId="8" xfId="0" applyFont="1" applyBorder="1" applyAlignment="1">
      <alignment horizontal="left" vertical="center" wrapText="1"/>
    </xf>
    <xf numFmtId="0" fontId="45" fillId="0" borderId="8" xfId="0" applyFont="1" applyFill="1" applyBorder="1" applyAlignment="1">
      <alignment horizontal="left" vertical="center" wrapText="1"/>
    </xf>
    <xf numFmtId="0" fontId="47" fillId="0" borderId="8" xfId="0" applyFont="1" applyFill="1" applyBorder="1" applyAlignment="1">
      <alignment horizontal="left" vertical="center" wrapText="1"/>
    </xf>
    <xf numFmtId="166" fontId="45" fillId="0" borderId="8" xfId="0" applyNumberFormat="1" applyFont="1" applyFill="1" applyBorder="1" applyAlignment="1">
      <alignment horizontal="left" vertical="center"/>
    </xf>
    <xf numFmtId="164" fontId="0" fillId="0" borderId="0" xfId="2" applyFont="1" applyFill="1"/>
    <xf numFmtId="0" fontId="0" fillId="0" borderId="0" xfId="0" applyFill="1"/>
    <xf numFmtId="166" fontId="45" fillId="0" borderId="8" xfId="0" applyNumberFormat="1" applyFont="1" applyFill="1" applyBorder="1" applyAlignment="1">
      <alignment horizontal="left" vertical="center" wrapText="1"/>
    </xf>
    <xf numFmtId="0" fontId="45" fillId="0" borderId="8" xfId="0" applyFont="1" applyFill="1" applyBorder="1" applyAlignment="1">
      <alignment horizontal="center" vertical="center" wrapText="1"/>
    </xf>
    <xf numFmtId="166" fontId="46" fillId="0" borderId="8" xfId="0" applyNumberFormat="1" applyFont="1" applyBorder="1" applyAlignment="1">
      <alignment vertical="center"/>
    </xf>
    <xf numFmtId="166" fontId="45" fillId="0" borderId="8" xfId="0" applyNumberFormat="1" applyFont="1" applyBorder="1" applyAlignment="1">
      <alignment vertical="center" wrapText="1"/>
    </xf>
    <xf numFmtId="166" fontId="45" fillId="0" borderId="8" xfId="0" applyNumberFormat="1" applyFont="1" applyBorder="1" applyAlignment="1">
      <alignment vertical="center"/>
    </xf>
    <xf numFmtId="166" fontId="45" fillId="0" borderId="8" xfId="0" applyNumberFormat="1" applyFont="1" applyBorder="1" applyAlignment="1">
      <alignment horizontal="left" vertical="center"/>
    </xf>
    <xf numFmtId="0" fontId="49" fillId="0" borderId="8" xfId="0" applyFont="1" applyBorder="1" applyAlignment="1">
      <alignment horizontal="left" vertical="center" wrapText="1"/>
    </xf>
    <xf numFmtId="0" fontId="0" fillId="0" borderId="0" xfId="0" applyAlignment="1">
      <alignment horizontal="center"/>
    </xf>
    <xf numFmtId="0" fontId="51" fillId="25" borderId="0" xfId="0" applyFont="1" applyFill="1" applyAlignment="1">
      <alignment horizontal="center"/>
    </xf>
    <xf numFmtId="0" fontId="52" fillId="25" borderId="0" xfId="0" applyFont="1" applyFill="1" applyAlignment="1">
      <alignment horizontal="center"/>
    </xf>
    <xf numFmtId="0" fontId="53" fillId="0" borderId="0" xfId="0" applyFont="1" applyAlignment="1">
      <alignment horizontal="center"/>
    </xf>
    <xf numFmtId="0" fontId="33" fillId="0" borderId="0" xfId="0" applyFont="1" applyFill="1" applyAlignment="1">
      <alignment horizontal="center" vertical="center"/>
    </xf>
    <xf numFmtId="0" fontId="21" fillId="0" borderId="0" xfId="0" applyFont="1" applyFill="1" applyBorder="1" applyAlignment="1">
      <alignment horizontal="center" vertical="center"/>
    </xf>
    <xf numFmtId="0" fontId="26" fillId="0" borderId="0" xfId="0" applyFont="1" applyFill="1" applyAlignment="1">
      <alignment horizontal="center" vertical="center"/>
    </xf>
    <xf numFmtId="0" fontId="22" fillId="9" borderId="9" xfId="0" applyFont="1" applyFill="1" applyBorder="1" applyAlignment="1">
      <alignment horizontal="center" vertical="center"/>
    </xf>
    <xf numFmtId="0" fontId="22" fillId="9" borderId="33" xfId="0" applyFont="1" applyFill="1" applyBorder="1" applyAlignment="1">
      <alignment horizontal="center" vertical="center"/>
    </xf>
    <xf numFmtId="0" fontId="22" fillId="9" borderId="34" xfId="0" applyFont="1" applyFill="1" applyBorder="1" applyAlignment="1">
      <alignment horizontal="center" vertical="center"/>
    </xf>
    <xf numFmtId="0" fontId="22" fillId="9" borderId="34" xfId="0" applyFont="1" applyFill="1" applyBorder="1" applyAlignment="1">
      <alignment horizontal="center" vertical="center" wrapText="1"/>
    </xf>
    <xf numFmtId="0" fontId="22" fillId="26" borderId="34" xfId="0" applyFont="1" applyFill="1" applyBorder="1" applyAlignment="1">
      <alignment horizontal="center" vertical="center" wrapText="1"/>
    </xf>
    <xf numFmtId="0" fontId="22" fillId="9" borderId="0" xfId="0" applyFont="1" applyFill="1" applyBorder="1" applyAlignment="1">
      <alignment horizontal="center" vertical="center"/>
    </xf>
    <xf numFmtId="0" fontId="22" fillId="9" borderId="11" xfId="0" applyFont="1" applyFill="1" applyBorder="1" applyAlignment="1">
      <alignment horizontal="center" vertical="center"/>
    </xf>
    <xf numFmtId="0" fontId="22" fillId="9" borderId="35" xfId="0" applyFont="1" applyFill="1" applyBorder="1" applyAlignment="1">
      <alignment horizontal="center" vertical="center"/>
    </xf>
    <xf numFmtId="0" fontId="22" fillId="9" borderId="35" xfId="0" applyFont="1" applyFill="1" applyBorder="1" applyAlignment="1">
      <alignment horizontal="center" vertical="center" wrapText="1"/>
    </xf>
    <xf numFmtId="0" fontId="22" fillId="26" borderId="35" xfId="0" applyFont="1" applyFill="1" applyBorder="1" applyAlignment="1">
      <alignment horizontal="center" vertical="center" wrapText="1"/>
    </xf>
    <xf numFmtId="0" fontId="22" fillId="9" borderId="36" xfId="0" applyFont="1" applyFill="1" applyBorder="1" applyAlignment="1">
      <alignment horizontal="center" vertical="center"/>
    </xf>
    <xf numFmtId="0" fontId="22" fillId="9" borderId="36" xfId="0" applyFont="1" applyFill="1" applyBorder="1" applyAlignment="1">
      <alignment horizontal="center" vertical="center" wrapText="1"/>
    </xf>
    <xf numFmtId="0" fontId="22" fillId="26" borderId="36" xfId="0" applyFont="1" applyFill="1" applyBorder="1" applyAlignment="1">
      <alignment horizontal="center" vertical="center" wrapText="1"/>
    </xf>
    <xf numFmtId="1" fontId="8" fillId="27" borderId="34" xfId="0" applyNumberFormat="1" applyFont="1" applyFill="1" applyBorder="1" applyAlignment="1">
      <alignment horizontal="center" vertical="center" wrapText="1"/>
    </xf>
    <xf numFmtId="4" fontId="10" fillId="27" borderId="34" xfId="0" applyNumberFormat="1" applyFont="1" applyFill="1" applyBorder="1" applyAlignment="1">
      <alignment horizontal="center" vertical="center" wrapText="1"/>
    </xf>
    <xf numFmtId="0" fontId="22" fillId="9" borderId="17" xfId="0" applyFont="1" applyFill="1" applyBorder="1" applyAlignment="1">
      <alignment horizontal="center" vertical="center"/>
    </xf>
    <xf numFmtId="0" fontId="22" fillId="9" borderId="37" xfId="0" applyFont="1" applyFill="1" applyBorder="1" applyAlignment="1">
      <alignment horizontal="center" vertical="center"/>
    </xf>
    <xf numFmtId="1" fontId="8" fillId="27" borderId="36" xfId="0" applyNumberFormat="1" applyFont="1" applyFill="1" applyBorder="1" applyAlignment="1">
      <alignment horizontal="center" vertical="center" wrapText="1"/>
    </xf>
    <xf numFmtId="4" fontId="10" fillId="27" borderId="36" xfId="0" applyNumberFormat="1" applyFont="1" applyFill="1" applyBorder="1" applyAlignment="1">
      <alignment horizontal="center" vertical="center" wrapText="1"/>
    </xf>
    <xf numFmtId="0" fontId="6" fillId="0" borderId="13" xfId="0" applyFont="1" applyFill="1" applyBorder="1" applyAlignment="1">
      <alignment vertical="center"/>
    </xf>
    <xf numFmtId="4" fontId="54" fillId="0" borderId="5" xfId="0" applyNumberFormat="1" applyFont="1" applyFill="1" applyBorder="1" applyAlignment="1">
      <alignment horizontal="center" vertical="center"/>
    </xf>
    <xf numFmtId="4" fontId="16" fillId="0" borderId="8" xfId="0" applyNumberFormat="1" applyFont="1" applyFill="1" applyBorder="1" applyAlignment="1">
      <alignment horizontal="center" vertical="center" wrapText="1"/>
    </xf>
    <xf numFmtId="0" fontId="19" fillId="7" borderId="13" xfId="0" applyFont="1" applyFill="1" applyBorder="1" applyAlignment="1">
      <alignment horizontal="left" vertical="center"/>
    </xf>
    <xf numFmtId="0" fontId="19" fillId="7" borderId="10" xfId="0" applyFont="1" applyFill="1" applyBorder="1" applyAlignment="1">
      <alignment horizontal="left" vertical="center"/>
    </xf>
    <xf numFmtId="0" fontId="33" fillId="0" borderId="0" xfId="0" applyFont="1" applyFill="1" applyBorder="1" applyAlignment="1">
      <alignment horizontal="center" vertical="center"/>
    </xf>
    <xf numFmtId="0" fontId="26" fillId="0" borderId="8" xfId="0" applyFont="1" applyFill="1" applyBorder="1" applyAlignment="1">
      <alignment vertical="center" wrapText="1"/>
    </xf>
    <xf numFmtId="4" fontId="26" fillId="0" borderId="5" xfId="0" applyNumberFormat="1" applyFont="1" applyFill="1" applyBorder="1" applyAlignment="1">
      <alignment horizontal="center" vertical="center"/>
    </xf>
    <xf numFmtId="4" fontId="55" fillId="2" borderId="8" xfId="0" applyNumberFormat="1" applyFont="1" applyFill="1" applyBorder="1" applyAlignment="1">
      <alignment horizontal="center" vertical="center" wrapText="1"/>
    </xf>
    <xf numFmtId="4" fontId="26" fillId="0" borderId="8"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4" fontId="55" fillId="0" borderId="8" xfId="0" applyNumberFormat="1" applyFont="1" applyFill="1" applyBorder="1" applyAlignment="1">
      <alignment horizontal="center" vertical="center" wrapText="1"/>
    </xf>
    <xf numFmtId="4" fontId="26" fillId="0" borderId="8" xfId="0" applyNumberFormat="1" applyFont="1" applyFill="1" applyBorder="1" applyAlignment="1">
      <alignment vertical="center"/>
    </xf>
    <xf numFmtId="4" fontId="24" fillId="0" borderId="5" xfId="0" applyNumberFormat="1" applyFont="1" applyFill="1" applyBorder="1" applyAlignment="1">
      <alignment horizontal="center" vertical="center" wrapText="1"/>
    </xf>
    <xf numFmtId="4" fontId="26" fillId="0" borderId="5" xfId="0" applyNumberFormat="1" applyFont="1" applyFill="1" applyBorder="1" applyAlignment="1">
      <alignment horizontal="center" vertical="center" wrapText="1"/>
    </xf>
    <xf numFmtId="4" fontId="55" fillId="2" borderId="8" xfId="0" applyNumberFormat="1" applyFont="1" applyFill="1" applyBorder="1" applyAlignment="1" applyProtection="1">
      <alignment horizontal="center" vertical="center" wrapText="1"/>
    </xf>
    <xf numFmtId="4" fontId="55" fillId="2" borderId="8" xfId="0" applyNumberFormat="1" applyFont="1" applyFill="1" applyBorder="1" applyAlignment="1">
      <alignment horizontal="center" vertical="center"/>
    </xf>
    <xf numFmtId="4" fontId="16" fillId="9" borderId="0" xfId="0" applyNumberFormat="1" applyFont="1" applyFill="1" applyBorder="1" applyAlignment="1">
      <alignment horizontal="center" vertical="center" wrapText="1"/>
    </xf>
    <xf numFmtId="0" fontId="19" fillId="9" borderId="0" xfId="0" applyFont="1" applyFill="1" applyBorder="1" applyAlignment="1">
      <alignment horizontal="left" vertical="center" wrapText="1"/>
    </xf>
    <xf numFmtId="4" fontId="10" fillId="9" borderId="8" xfId="0" applyNumberFormat="1" applyFont="1" applyFill="1" applyBorder="1" applyAlignment="1">
      <alignment horizontal="center" vertical="center" wrapText="1"/>
    </xf>
    <xf numFmtId="0" fontId="25" fillId="27" borderId="8" xfId="0" applyFont="1" applyFill="1" applyBorder="1" applyAlignment="1">
      <alignment horizontal="center" vertical="center"/>
    </xf>
    <xf numFmtId="0" fontId="19" fillId="27" borderId="0" xfId="0" applyFont="1" applyFill="1" applyAlignment="1">
      <alignment vertical="center"/>
    </xf>
    <xf numFmtId="4" fontId="54" fillId="27" borderId="0" xfId="0" applyNumberFormat="1" applyFont="1" applyFill="1" applyAlignment="1">
      <alignment horizontal="center" vertical="center"/>
    </xf>
    <xf numFmtId="4" fontId="10" fillId="27" borderId="8" xfId="0" applyNumberFormat="1" applyFont="1" applyFill="1" applyBorder="1" applyAlignment="1">
      <alignment horizontal="center" vertical="center" wrapText="1"/>
    </xf>
    <xf numFmtId="0" fontId="15" fillId="0" borderId="0" xfId="0" applyFont="1" applyAlignment="1">
      <alignment vertical="center"/>
    </xf>
    <xf numFmtId="0" fontId="23" fillId="0" borderId="0" xfId="0" applyFont="1" applyAlignment="1">
      <alignment vertical="center"/>
    </xf>
    <xf numFmtId="0" fontId="13" fillId="2" borderId="0" xfId="0" applyFont="1" applyFill="1" applyAlignment="1">
      <alignment vertical="center" wrapText="1"/>
    </xf>
    <xf numFmtId="0" fontId="8" fillId="9" borderId="0" xfId="0" applyFont="1" applyFill="1" applyAlignment="1">
      <alignment horizontal="center" vertical="center" wrapText="1"/>
    </xf>
    <xf numFmtId="0" fontId="16" fillId="0" borderId="0" xfId="0" applyFont="1" applyFill="1" applyAlignment="1">
      <alignment horizontal="center" vertical="center"/>
    </xf>
    <xf numFmtId="0" fontId="21" fillId="0" borderId="0" xfId="1" applyFont="1" applyBorder="1" applyAlignment="1">
      <alignment horizontal="center" wrapText="1"/>
    </xf>
    <xf numFmtId="0" fontId="24" fillId="0" borderId="0" xfId="1" applyFont="1" applyFill="1" applyAlignment="1">
      <alignment horizontal="center"/>
    </xf>
    <xf numFmtId="0" fontId="26" fillId="9" borderId="13" xfId="1" applyFont="1" applyFill="1" applyBorder="1"/>
    <xf numFmtId="0" fontId="8" fillId="9" borderId="10" xfId="1" applyFont="1" applyFill="1" applyBorder="1"/>
    <xf numFmtId="0" fontId="8" fillId="9" borderId="8" xfId="1" applyFont="1" applyFill="1" applyBorder="1" applyAlignment="1">
      <alignment horizontal="center" vertical="center"/>
    </xf>
    <xf numFmtId="0" fontId="25" fillId="15" borderId="8" xfId="1" applyFont="1" applyFill="1" applyBorder="1" applyAlignment="1">
      <alignment vertical="center"/>
    </xf>
    <xf numFmtId="0" fontId="12" fillId="15" borderId="8" xfId="1" applyFont="1" applyFill="1" applyBorder="1" applyAlignment="1">
      <alignment vertical="center"/>
    </xf>
    <xf numFmtId="0" fontId="15" fillId="15" borderId="10" xfId="1" applyFont="1" applyFill="1" applyBorder="1" applyAlignment="1">
      <alignment horizontal="center" vertical="center"/>
    </xf>
    <xf numFmtId="0" fontId="16" fillId="15" borderId="10" xfId="1" applyFont="1" applyFill="1" applyBorder="1" applyAlignment="1">
      <alignment horizontal="center" vertical="center"/>
    </xf>
    <xf numFmtId="0" fontId="16" fillId="15" borderId="5" xfId="1" applyFont="1" applyFill="1" applyBorder="1" applyAlignment="1">
      <alignment horizontal="center" vertical="center"/>
    </xf>
    <xf numFmtId="0" fontId="25" fillId="3" borderId="8" xfId="1" applyFont="1" applyFill="1" applyBorder="1"/>
    <xf numFmtId="0" fontId="12" fillId="3" borderId="8" xfId="1" applyFont="1" applyFill="1" applyBorder="1"/>
    <xf numFmtId="0" fontId="10" fillId="3" borderId="8" xfId="1" applyFont="1" applyFill="1" applyBorder="1" applyAlignment="1">
      <alignment horizontal="center"/>
    </xf>
    <xf numFmtId="4" fontId="10" fillId="3" borderId="8" xfId="1" applyNumberFormat="1" applyFont="1" applyFill="1" applyBorder="1" applyAlignment="1">
      <alignment horizontal="center"/>
    </xf>
    <xf numFmtId="0" fontId="56" fillId="0" borderId="34" xfId="1" applyFont="1" applyBorder="1"/>
    <xf numFmtId="0" fontId="15" fillId="0" borderId="8" xfId="1" applyFont="1" applyBorder="1"/>
    <xf numFmtId="0" fontId="16" fillId="0" borderId="8" xfId="1" applyFont="1" applyBorder="1" applyAlignment="1">
      <alignment horizontal="center"/>
    </xf>
    <xf numFmtId="4" fontId="15" fillId="0" borderId="8" xfId="1" applyNumberFormat="1" applyFont="1" applyFill="1" applyBorder="1" applyAlignment="1" applyProtection="1">
      <alignment horizontal="center"/>
    </xf>
    <xf numFmtId="0" fontId="56" fillId="0" borderId="35" xfId="1" applyFont="1" applyBorder="1"/>
    <xf numFmtId="0" fontId="15" fillId="0" borderId="8" xfId="1" applyFont="1" applyFill="1" applyBorder="1" applyAlignment="1" applyProtection="1">
      <alignment wrapText="1"/>
    </xf>
    <xf numFmtId="0" fontId="16" fillId="0" borderId="8" xfId="1" applyFont="1" applyFill="1" applyBorder="1" applyAlignment="1" applyProtection="1">
      <alignment horizontal="center" wrapText="1"/>
    </xf>
    <xf numFmtId="0" fontId="54" fillId="0" borderId="35" xfId="1" applyFont="1" applyBorder="1"/>
    <xf numFmtId="0" fontId="15" fillId="0" borderId="8" xfId="1" applyFont="1" applyFill="1" applyBorder="1"/>
    <xf numFmtId="0" fontId="16" fillId="0" borderId="8" xfId="1" applyFont="1" applyFill="1" applyBorder="1" applyAlignment="1">
      <alignment horizontal="center"/>
    </xf>
    <xf numFmtId="0" fontId="56" fillId="0" borderId="35" xfId="1" applyFont="1" applyBorder="1" applyAlignment="1"/>
    <xf numFmtId="0" fontId="15" fillId="0" borderId="8" xfId="1" applyFont="1" applyFill="1" applyBorder="1" applyAlignment="1"/>
    <xf numFmtId="0" fontId="54" fillId="0" borderId="36" xfId="1" applyFont="1" applyBorder="1"/>
    <xf numFmtId="0" fontId="15" fillId="0" borderId="34" xfId="1" applyFont="1" applyBorder="1"/>
    <xf numFmtId="0" fontId="15" fillId="0" borderId="35" xfId="1" applyFont="1" applyBorder="1"/>
    <xf numFmtId="0" fontId="15" fillId="0" borderId="8" xfId="1" applyFont="1" applyFill="1" applyBorder="1" applyAlignment="1">
      <alignment horizontal="center"/>
    </xf>
    <xf numFmtId="0" fontId="15" fillId="0" borderId="36" xfId="1" applyFont="1" applyBorder="1"/>
    <xf numFmtId="0" fontId="25" fillId="28" borderId="8" xfId="1" applyFont="1" applyFill="1" applyBorder="1" applyAlignment="1">
      <alignment vertical="center"/>
    </xf>
    <xf numFmtId="0" fontId="12" fillId="28" borderId="8" xfId="1" applyFont="1" applyFill="1" applyBorder="1" applyAlignment="1">
      <alignment vertical="center"/>
    </xf>
    <xf numFmtId="0" fontId="12" fillId="7" borderId="8" xfId="1" applyFont="1" applyFill="1" applyBorder="1" applyAlignment="1">
      <alignment horizontal="center"/>
    </xf>
    <xf numFmtId="4" fontId="10" fillId="7" borderId="8" xfId="1" applyNumberFormat="1" applyFont="1" applyFill="1" applyBorder="1" applyAlignment="1" applyProtection="1">
      <alignment horizontal="center"/>
    </xf>
    <xf numFmtId="0" fontId="54" fillId="0" borderId="0" xfId="1" applyFont="1" applyFill="1" applyBorder="1" applyAlignment="1">
      <alignment vertical="center"/>
    </xf>
    <xf numFmtId="0" fontId="15" fillId="0" borderId="0" xfId="1" applyFont="1" applyFill="1" applyBorder="1" applyAlignment="1">
      <alignment vertical="center"/>
    </xf>
    <xf numFmtId="0" fontId="15" fillId="0" borderId="0" xfId="1" applyFont="1" applyFill="1" applyBorder="1" applyAlignment="1">
      <alignment horizontal="center" vertical="center"/>
    </xf>
    <xf numFmtId="4" fontId="16" fillId="0" borderId="0" xfId="1" applyNumberFormat="1" applyFont="1" applyFill="1" applyBorder="1" applyAlignment="1">
      <alignment horizontal="center" vertical="center"/>
    </xf>
    <xf numFmtId="0" fontId="15" fillId="15" borderId="8" xfId="1" applyFont="1" applyFill="1" applyBorder="1" applyAlignment="1">
      <alignment horizontal="center" vertical="center"/>
    </xf>
    <xf numFmtId="0" fontId="16" fillId="15" borderId="8" xfId="1" applyFont="1" applyFill="1" applyBorder="1" applyAlignment="1">
      <alignment horizontal="center" vertical="center"/>
    </xf>
    <xf numFmtId="0" fontId="20" fillId="0" borderId="35" xfId="1" applyFont="1" applyBorder="1"/>
    <xf numFmtId="0" fontId="16" fillId="0" borderId="0" xfId="1" applyFont="1" applyFill="1" applyBorder="1" applyAlignment="1">
      <alignment horizontal="center" vertical="center"/>
    </xf>
    <xf numFmtId="0" fontId="15" fillId="0" borderId="0" xfId="1" applyFont="1" applyBorder="1"/>
    <xf numFmtId="0" fontId="15" fillId="0" borderId="0" xfId="1" applyFont="1" applyBorder="1" applyAlignment="1">
      <alignment horizontal="center"/>
    </xf>
    <xf numFmtId="4" fontId="16" fillId="0" borderId="0" xfId="1" applyNumberFormat="1" applyFont="1" applyBorder="1" applyAlignment="1">
      <alignment horizontal="center"/>
    </xf>
    <xf numFmtId="0" fontId="25" fillId="29" borderId="8" xfId="1" applyFont="1" applyFill="1" applyBorder="1" applyAlignment="1">
      <alignment vertical="center"/>
    </xf>
    <xf numFmtId="0" fontId="12" fillId="29" borderId="8" xfId="1" applyFont="1" applyFill="1" applyBorder="1" applyAlignment="1">
      <alignment vertical="center"/>
    </xf>
    <xf numFmtId="0" fontId="12" fillId="3" borderId="8" xfId="1" applyFont="1" applyFill="1" applyBorder="1" applyAlignment="1">
      <alignment horizontal="center"/>
    </xf>
    <xf numFmtId="4" fontId="10" fillId="3" borderId="8" xfId="1" applyNumberFormat="1" applyFont="1" applyFill="1" applyBorder="1" applyAlignment="1" applyProtection="1">
      <alignment horizontal="center"/>
    </xf>
    <xf numFmtId="0" fontId="54" fillId="0" borderId="0" xfId="1" applyFont="1" applyFill="1" applyBorder="1" applyAlignment="1">
      <alignment horizontal="left" vertical="center" wrapText="1"/>
    </xf>
    <xf numFmtId="0" fontId="54" fillId="0" borderId="0" xfId="1" applyFont="1" applyFill="1" applyBorder="1" applyAlignment="1">
      <alignment horizontal="center" vertical="center" wrapText="1"/>
    </xf>
    <xf numFmtId="4" fontId="16" fillId="0" borderId="0" xfId="1" applyNumberFormat="1" applyFont="1" applyBorder="1" applyAlignment="1">
      <alignment horizontal="center" vertical="center"/>
    </xf>
    <xf numFmtId="0" fontId="55" fillId="0" borderId="0" xfId="1" applyFont="1" applyFill="1" applyBorder="1" applyAlignment="1">
      <alignment horizontal="left" vertical="center" wrapText="1"/>
    </xf>
    <xf numFmtId="0" fontId="54" fillId="0" borderId="8" xfId="1" applyFont="1" applyFill="1" applyBorder="1" applyAlignment="1">
      <alignment horizontal="center" vertical="center" wrapText="1"/>
    </xf>
    <xf numFmtId="4" fontId="16" fillId="0" borderId="8" xfId="1" applyNumberFormat="1" applyFont="1" applyFill="1" applyBorder="1" applyAlignment="1" applyProtection="1">
      <alignment horizontal="center"/>
    </xf>
    <xf numFmtId="0" fontId="55" fillId="0" borderId="0" xfId="1" applyFont="1" applyFill="1" applyBorder="1" applyAlignment="1"/>
    <xf numFmtId="0" fontId="15" fillId="0" borderId="0" xfId="1" applyFont="1" applyFill="1" applyBorder="1"/>
    <xf numFmtId="0" fontId="19" fillId="9" borderId="0" xfId="1" applyFont="1" applyFill="1" applyBorder="1" applyAlignment="1">
      <alignment vertical="center"/>
    </xf>
    <xf numFmtId="0" fontId="22" fillId="9" borderId="0" xfId="1" applyFont="1" applyFill="1" applyBorder="1" applyAlignment="1">
      <alignment vertical="center"/>
    </xf>
    <xf numFmtId="0" fontId="19" fillId="9" borderId="8" xfId="1" applyFont="1" applyFill="1" applyBorder="1" applyAlignment="1" applyProtection="1">
      <alignment horizontal="center" vertical="center"/>
    </xf>
    <xf numFmtId="4" fontId="19" fillId="9" borderId="8" xfId="1" applyNumberFormat="1" applyFont="1" applyFill="1" applyBorder="1" applyAlignment="1" applyProtection="1">
      <alignment horizontal="center" vertical="center"/>
    </xf>
    <xf numFmtId="4" fontId="15" fillId="0" borderId="0" xfId="1" applyNumberFormat="1" applyFont="1" applyBorder="1"/>
    <xf numFmtId="0" fontId="16" fillId="0" borderId="0" xfId="1" applyFont="1"/>
    <xf numFmtId="0" fontId="9" fillId="0" borderId="0" xfId="0" applyFont="1" applyAlignment="1">
      <alignment horizontal="center"/>
    </xf>
    <xf numFmtId="0" fontId="9" fillId="0" borderId="0" xfId="0" applyFont="1"/>
    <xf numFmtId="0" fontId="21" fillId="0" borderId="0" xfId="0" applyFont="1" applyFill="1" applyBorder="1" applyAlignment="1">
      <alignment horizontal="center" wrapText="1"/>
    </xf>
    <xf numFmtId="0" fontId="21" fillId="0" borderId="0" xfId="0" applyFont="1" applyFill="1" applyBorder="1" applyAlignment="1">
      <alignment horizontal="center"/>
    </xf>
    <xf numFmtId="0" fontId="24" fillId="0" borderId="0" xfId="0" applyFont="1" applyBorder="1" applyAlignment="1">
      <alignment horizontal="center"/>
    </xf>
    <xf numFmtId="0" fontId="12" fillId="9" borderId="22" xfId="0" applyFont="1" applyFill="1" applyBorder="1" applyAlignment="1">
      <alignment horizontal="center" vertical="center"/>
    </xf>
    <xf numFmtId="0" fontId="12" fillId="9" borderId="22" xfId="0" applyFont="1" applyFill="1" applyBorder="1" applyAlignment="1">
      <alignment horizontal="center" vertical="center" wrapText="1"/>
    </xf>
    <xf numFmtId="0" fontId="12" fillId="9" borderId="22" xfId="0" applyFont="1" applyFill="1" applyBorder="1" applyAlignment="1">
      <alignment horizontal="center" vertical="center" wrapText="1"/>
    </xf>
    <xf numFmtId="0" fontId="12" fillId="9" borderId="22" xfId="0" applyFont="1" applyFill="1" applyBorder="1" applyAlignment="1">
      <alignment horizontal="center" vertical="center"/>
    </xf>
    <xf numFmtId="0" fontId="10" fillId="19" borderId="22" xfId="0" applyFont="1" applyFill="1" applyBorder="1" applyAlignment="1">
      <alignment horizontal="left" vertical="center"/>
    </xf>
    <xf numFmtId="164" fontId="10" fillId="19" borderId="22" xfId="2" applyFont="1" applyFill="1" applyBorder="1" applyAlignment="1">
      <alignment horizontal="center" vertical="center"/>
    </xf>
    <xf numFmtId="0" fontId="10" fillId="29" borderId="22" xfId="0" applyFont="1" applyFill="1" applyBorder="1" applyAlignment="1">
      <alignment vertical="center"/>
    </xf>
    <xf numFmtId="164" fontId="10" fillId="29" borderId="22" xfId="2" applyFont="1" applyFill="1" applyBorder="1" applyAlignment="1">
      <alignment horizontal="center" vertical="center"/>
    </xf>
    <xf numFmtId="0" fontId="16" fillId="0" borderId="22" xfId="0" applyFont="1" applyBorder="1" applyAlignment="1">
      <alignment horizontal="left" vertical="top"/>
    </xf>
    <xf numFmtId="164" fontId="16" fillId="0" borderId="22" xfId="2" applyFont="1" applyBorder="1" applyAlignment="1">
      <alignment horizontal="center"/>
    </xf>
    <xf numFmtId="0" fontId="15" fillId="0" borderId="22" xfId="0" applyFont="1" applyBorder="1" applyAlignment="1">
      <alignment horizontal="left" vertical="top" indent="4"/>
    </xf>
    <xf numFmtId="0" fontId="15" fillId="0" borderId="22" xfId="0" applyFont="1" applyBorder="1" applyAlignment="1">
      <alignment horizontal="center" vertical="top"/>
    </xf>
    <xf numFmtId="0" fontId="16" fillId="0" borderId="22" xfId="0" applyFont="1" applyBorder="1" applyAlignment="1">
      <alignment horizontal="left" vertical="top" wrapText="1"/>
    </xf>
    <xf numFmtId="164" fontId="16" fillId="0" borderId="22" xfId="2" applyFont="1" applyBorder="1" applyAlignment="1" applyProtection="1">
      <alignment horizontal="center"/>
    </xf>
    <xf numFmtId="0" fontId="15" fillId="0" borderId="31" xfId="0" applyFont="1" applyBorder="1" applyAlignment="1">
      <alignment horizontal="left" vertical="top" indent="10"/>
    </xf>
    <xf numFmtId="0" fontId="15" fillId="0" borderId="27" xfId="0" applyFont="1" applyBorder="1" applyAlignment="1">
      <alignment horizontal="left" vertical="top" indent="10"/>
    </xf>
    <xf numFmtId="0" fontId="9" fillId="0" borderId="27" xfId="0" applyFont="1" applyBorder="1"/>
    <xf numFmtId="0" fontId="9" fillId="0" borderId="26" xfId="0" applyFont="1" applyBorder="1"/>
    <xf numFmtId="0" fontId="9" fillId="0" borderId="38" xfId="0" applyFont="1" applyBorder="1"/>
    <xf numFmtId="0" fontId="15" fillId="0" borderId="0" xfId="0" applyFont="1" applyAlignment="1">
      <alignment horizontal="left" vertical="top" indent="10"/>
    </xf>
    <xf numFmtId="0" fontId="33" fillId="0" borderId="0" xfId="0" applyFont="1" applyFill="1" applyAlignment="1">
      <alignment horizontal="center" vertical="center"/>
    </xf>
    <xf numFmtId="0" fontId="21" fillId="0" borderId="0" xfId="0" applyFont="1" applyBorder="1" applyAlignment="1">
      <alignment horizontal="center" vertical="center" wrapText="1"/>
    </xf>
  </cellXfs>
  <cellStyles count="6">
    <cellStyle name="60% - Énfasis2" xfId="3" builtinId="36"/>
    <cellStyle name="Énfasis4" xfId="4" builtinId="41"/>
    <cellStyle name="Énfasis5" xfId="5" builtinId="45"/>
    <cellStyle name="Millares" xfId="2" builtinId="3"/>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vargas\Desktop\cambios%20WEB\Presupuesto\estados_financieros\2019\dic-2019\Formatos%20Word%20y%20Excel\ESTADO_DE_CAMBIO_DE_PATRIMONIO_NE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vargas\Desktop\cambios%20WEB\Presupuesto\estados_financieros\2019\dic-2019\Formatos%20Word%20y%20Excel\ESTADO_DE_FLUJO_DE_EFECTI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vargas\Desktop\cambios%20WEB\Presupuesto\estados_financieros\2019\dic-2019\Formatos%20Word%20y%20Excel\ESTADO_DEUDA_PUBL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CambiosPatrimonioNeto"/>
      <sheetName val="Data"/>
    </sheetNames>
    <sheetDataSet>
      <sheetData sheetId="0" refreshError="1"/>
      <sheetData sheetId="1">
        <row r="1">
          <cell r="Y1" t="str">
            <v/>
          </cell>
        </row>
        <row r="2">
          <cell r="D2" t="str">
            <v>ados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FlujoEfectivo"/>
      <sheetName val="CatalogoCuentasFlujo"/>
      <sheetName val="Data"/>
    </sheetNames>
    <sheetDataSet>
      <sheetData sheetId="0" refreshError="1"/>
      <sheetData sheetId="1" refreshError="1"/>
      <sheetData sheetId="2">
        <row r="1">
          <cell r="C1" t="str">
            <v>Periodo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DeudaPublica"/>
      <sheetName val="Data"/>
    </sheetNames>
    <sheetDataSet>
      <sheetData sheetId="0" refreshError="1"/>
      <sheetData sheetId="1">
        <row r="2">
          <cell r="C2" t="str">
            <v>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70"/>
  <sheetViews>
    <sheetView topLeftCell="B730" workbookViewId="0">
      <selection activeCell="C10" sqref="C10"/>
    </sheetView>
  </sheetViews>
  <sheetFormatPr baseColWidth="10" defaultRowHeight="15" x14ac:dyDescent="0.25"/>
  <cols>
    <col min="1" max="1" width="18.5703125" bestFit="1" customWidth="1"/>
    <col min="2" max="2" width="37" bestFit="1" customWidth="1"/>
    <col min="3" max="3" width="100.7109375" bestFit="1" customWidth="1"/>
    <col min="4" max="4" width="13.7109375" bestFit="1" customWidth="1"/>
    <col min="5" max="5" width="17" bestFit="1" customWidth="1"/>
    <col min="6" max="6" width="18.140625" bestFit="1" customWidth="1"/>
    <col min="7" max="7" width="12.7109375" bestFit="1" customWidth="1"/>
  </cols>
  <sheetData>
    <row r="2" spans="1:7" ht="18.75" x14ac:dyDescent="0.3">
      <c r="A2" s="280" t="s">
        <v>1855</v>
      </c>
      <c r="B2" s="280"/>
      <c r="C2" s="280"/>
      <c r="D2" s="280"/>
      <c r="E2" s="280"/>
      <c r="F2" s="280"/>
      <c r="G2" s="280"/>
    </row>
    <row r="3" spans="1:7" ht="18.75" x14ac:dyDescent="0.3">
      <c r="A3" s="280" t="s">
        <v>3077</v>
      </c>
      <c r="B3" s="280"/>
      <c r="C3" s="280"/>
      <c r="D3" s="280"/>
      <c r="E3" s="280"/>
      <c r="F3" s="280"/>
      <c r="G3" s="280"/>
    </row>
    <row r="4" spans="1:7" x14ac:dyDescent="0.25">
      <c r="A4" s="277"/>
      <c r="B4" s="277"/>
      <c r="C4" s="277"/>
      <c r="D4" s="277"/>
      <c r="E4" s="277"/>
      <c r="F4" s="277"/>
      <c r="G4" s="277"/>
    </row>
    <row r="5" spans="1:7" ht="15.75" x14ac:dyDescent="0.25">
      <c r="A5" s="278" t="s">
        <v>1856</v>
      </c>
      <c r="B5" s="279"/>
      <c r="C5" s="279"/>
      <c r="D5" s="279"/>
      <c r="E5" s="279"/>
      <c r="F5" s="279"/>
      <c r="G5" s="279"/>
    </row>
    <row r="6" spans="1:7" ht="15.75" x14ac:dyDescent="0.25">
      <c r="A6" s="278" t="s">
        <v>1857</v>
      </c>
      <c r="B6" s="279"/>
      <c r="C6" s="279"/>
      <c r="D6" s="279"/>
      <c r="E6" s="279"/>
      <c r="F6" s="279"/>
      <c r="G6" s="279"/>
    </row>
    <row r="7" spans="1:7" ht="15.75" x14ac:dyDescent="0.25">
      <c r="A7" s="278" t="s">
        <v>3078</v>
      </c>
      <c r="B7" s="279"/>
      <c r="C7" s="279"/>
      <c r="D7" s="279"/>
      <c r="E7" s="279"/>
      <c r="F7" s="279"/>
      <c r="G7" s="279"/>
    </row>
    <row r="8" spans="1:7" x14ac:dyDescent="0.25">
      <c r="A8" t="s">
        <v>1858</v>
      </c>
      <c r="B8" t="s">
        <v>1859</v>
      </c>
      <c r="C8" t="s">
        <v>1860</v>
      </c>
      <c r="D8" t="s">
        <v>1861</v>
      </c>
      <c r="E8" t="s">
        <v>1862</v>
      </c>
      <c r="F8" t="s">
        <v>1863</v>
      </c>
      <c r="G8" t="s">
        <v>1864</v>
      </c>
    </row>
    <row r="9" spans="1:7" x14ac:dyDescent="0.25">
      <c r="A9" t="s">
        <v>1865</v>
      </c>
      <c r="B9" t="s">
        <v>2</v>
      </c>
      <c r="C9" t="s">
        <v>3</v>
      </c>
      <c r="D9">
        <v>2668270506.0999999</v>
      </c>
      <c r="E9">
        <v>7287787382.7400007</v>
      </c>
      <c r="F9">
        <v>6717444814.6499996</v>
      </c>
      <c r="G9">
        <v>3238613074.1900001</v>
      </c>
    </row>
    <row r="10" spans="1:7" x14ac:dyDescent="0.25">
      <c r="A10" t="s">
        <v>1865</v>
      </c>
      <c r="B10" t="s">
        <v>4</v>
      </c>
      <c r="C10" t="s">
        <v>1866</v>
      </c>
      <c r="D10">
        <v>588002877.99000001</v>
      </c>
      <c r="E10">
        <v>6402274929.8100004</v>
      </c>
      <c r="F10">
        <v>5969800684.4299994</v>
      </c>
      <c r="G10">
        <v>1020477123.37</v>
      </c>
    </row>
    <row r="11" spans="1:7" x14ac:dyDescent="0.25">
      <c r="A11" t="s">
        <v>1865</v>
      </c>
      <c r="B11" t="s">
        <v>6</v>
      </c>
      <c r="C11" t="s">
        <v>1867</v>
      </c>
      <c r="D11">
        <v>569340058.00999999</v>
      </c>
      <c r="E11">
        <v>2682973851.7300005</v>
      </c>
      <c r="F11">
        <v>2239612252.3199997</v>
      </c>
      <c r="G11">
        <v>1012701657.4200002</v>
      </c>
    </row>
    <row r="12" spans="1:7" x14ac:dyDescent="0.25">
      <c r="A12" t="s">
        <v>1865</v>
      </c>
      <c r="B12" t="s">
        <v>9</v>
      </c>
      <c r="C12" t="s">
        <v>1868</v>
      </c>
      <c r="D12">
        <v>569340058.00999999</v>
      </c>
      <c r="E12">
        <v>2682973851.7300005</v>
      </c>
      <c r="F12">
        <v>2239612252.3199997</v>
      </c>
      <c r="G12">
        <v>1012701657.4200002</v>
      </c>
    </row>
    <row r="13" spans="1:7" x14ac:dyDescent="0.25">
      <c r="A13" t="s">
        <v>1865</v>
      </c>
      <c r="B13" t="s">
        <v>1869</v>
      </c>
      <c r="C13" t="s">
        <v>1870</v>
      </c>
      <c r="D13">
        <v>568840058.00999999</v>
      </c>
      <c r="E13">
        <v>2682973851.7300005</v>
      </c>
      <c r="F13">
        <v>2239612252.3199997</v>
      </c>
      <c r="G13">
        <v>1012201657.4200002</v>
      </c>
    </row>
    <row r="14" spans="1:7" x14ac:dyDescent="0.25">
      <c r="A14" t="s">
        <v>1865</v>
      </c>
      <c r="B14" t="s">
        <v>1871</v>
      </c>
      <c r="C14" t="s">
        <v>1872</v>
      </c>
      <c r="D14">
        <v>568840058.00999999</v>
      </c>
      <c r="E14">
        <v>2682973851.7300005</v>
      </c>
      <c r="F14">
        <v>2239612252.3199997</v>
      </c>
      <c r="G14">
        <v>1012201657.4200002</v>
      </c>
    </row>
    <row r="15" spans="1:7" x14ac:dyDescent="0.25">
      <c r="A15" t="s">
        <v>1865</v>
      </c>
      <c r="B15" t="s">
        <v>1873</v>
      </c>
      <c r="C15" t="s">
        <v>1874</v>
      </c>
      <c r="D15">
        <v>80753121.560000002</v>
      </c>
      <c r="E15">
        <v>426525593.47000003</v>
      </c>
      <c r="F15">
        <v>433773580.71999997</v>
      </c>
      <c r="G15">
        <v>73505134.310000002</v>
      </c>
    </row>
    <row r="16" spans="1:7" x14ac:dyDescent="0.25">
      <c r="A16" t="s">
        <v>1865</v>
      </c>
      <c r="B16" t="s">
        <v>1875</v>
      </c>
      <c r="C16" t="s">
        <v>1876</v>
      </c>
      <c r="D16">
        <v>14818409.290000001</v>
      </c>
      <c r="E16">
        <v>421868403.93000001</v>
      </c>
      <c r="F16">
        <v>425700860.40999997</v>
      </c>
      <c r="G16">
        <v>10985952.810000001</v>
      </c>
    </row>
    <row r="17" spans="1:7" x14ac:dyDescent="0.25">
      <c r="A17" t="s">
        <v>1865</v>
      </c>
      <c r="B17" t="s">
        <v>1877</v>
      </c>
      <c r="C17" t="s">
        <v>1878</v>
      </c>
      <c r="D17">
        <v>65934712.270000003</v>
      </c>
      <c r="E17">
        <v>4657189.54</v>
      </c>
      <c r="F17">
        <v>8072720.3100000005</v>
      </c>
      <c r="G17">
        <v>62519181.5</v>
      </c>
    </row>
    <row r="18" spans="1:7" x14ac:dyDescent="0.25">
      <c r="A18" t="s">
        <v>1865</v>
      </c>
      <c r="B18" t="s">
        <v>1879</v>
      </c>
      <c r="C18" t="s">
        <v>1880</v>
      </c>
      <c r="D18">
        <v>488086936.44999999</v>
      </c>
      <c r="E18">
        <v>2256448258.2600002</v>
      </c>
      <c r="F18">
        <v>1805838671.5999999</v>
      </c>
      <c r="G18">
        <v>938696523.11000013</v>
      </c>
    </row>
    <row r="19" spans="1:7" x14ac:dyDescent="0.25">
      <c r="A19" t="s">
        <v>1865</v>
      </c>
      <c r="B19" t="s">
        <v>1881</v>
      </c>
      <c r="C19" t="s">
        <v>1882</v>
      </c>
      <c r="D19">
        <v>488086936.44999999</v>
      </c>
      <c r="E19">
        <v>2256448258.2600002</v>
      </c>
      <c r="F19">
        <v>1805838671.5999999</v>
      </c>
      <c r="G19">
        <v>938696523.11000013</v>
      </c>
    </row>
    <row r="20" spans="1:7" x14ac:dyDescent="0.25">
      <c r="A20" t="s">
        <v>1865</v>
      </c>
      <c r="B20" t="s">
        <v>1883</v>
      </c>
      <c r="C20" t="s">
        <v>1884</v>
      </c>
      <c r="D20">
        <v>500000</v>
      </c>
      <c r="E20">
        <v>0</v>
      </c>
      <c r="F20">
        <v>0</v>
      </c>
      <c r="G20">
        <v>500000</v>
      </c>
    </row>
    <row r="21" spans="1:7" x14ac:dyDescent="0.25">
      <c r="A21" t="s">
        <v>1865</v>
      </c>
      <c r="B21" t="s">
        <v>1885</v>
      </c>
      <c r="C21" t="s">
        <v>1886</v>
      </c>
      <c r="D21">
        <v>500000</v>
      </c>
      <c r="E21">
        <v>0</v>
      </c>
      <c r="F21">
        <v>0</v>
      </c>
      <c r="G21">
        <v>500000</v>
      </c>
    </row>
    <row r="22" spans="1:7" x14ac:dyDescent="0.25">
      <c r="A22" t="s">
        <v>1865</v>
      </c>
      <c r="B22" t="s">
        <v>1887</v>
      </c>
      <c r="C22" t="s">
        <v>1888</v>
      </c>
      <c r="D22">
        <v>500000</v>
      </c>
      <c r="E22">
        <v>0</v>
      </c>
      <c r="F22">
        <v>0</v>
      </c>
      <c r="G22">
        <v>500000</v>
      </c>
    </row>
    <row r="23" spans="1:7" x14ac:dyDescent="0.25">
      <c r="A23" t="s">
        <v>1865</v>
      </c>
      <c r="B23" t="s">
        <v>1889</v>
      </c>
      <c r="C23" t="s">
        <v>1890</v>
      </c>
      <c r="D23">
        <v>500000</v>
      </c>
      <c r="E23">
        <v>0</v>
      </c>
      <c r="F23">
        <v>0</v>
      </c>
      <c r="G23">
        <v>500000</v>
      </c>
    </row>
    <row r="24" spans="1:7" x14ac:dyDescent="0.25">
      <c r="A24" t="s">
        <v>1865</v>
      </c>
      <c r="B24" t="s">
        <v>26</v>
      </c>
      <c r="C24" t="s">
        <v>1891</v>
      </c>
      <c r="D24">
        <v>17063402.710000001</v>
      </c>
      <c r="E24">
        <v>3607786538.4200001</v>
      </c>
      <c r="F24">
        <v>3622428140.71</v>
      </c>
      <c r="G24">
        <v>2421800.42</v>
      </c>
    </row>
    <row r="25" spans="1:7" x14ac:dyDescent="0.25">
      <c r="A25" t="s">
        <v>1865</v>
      </c>
      <c r="B25" t="s">
        <v>31</v>
      </c>
      <c r="C25" t="s">
        <v>1892</v>
      </c>
      <c r="D25">
        <v>0</v>
      </c>
      <c r="E25">
        <v>0</v>
      </c>
      <c r="F25">
        <v>0</v>
      </c>
      <c r="G25">
        <v>0</v>
      </c>
    </row>
    <row r="26" spans="1:7" x14ac:dyDescent="0.25">
      <c r="A26" t="s">
        <v>1865</v>
      </c>
      <c r="B26" t="s">
        <v>1893</v>
      </c>
      <c r="C26" t="s">
        <v>1894</v>
      </c>
      <c r="D26">
        <v>0</v>
      </c>
      <c r="E26">
        <v>0</v>
      </c>
      <c r="F26">
        <v>0</v>
      </c>
      <c r="G26">
        <v>0</v>
      </c>
    </row>
    <row r="27" spans="1:7" x14ac:dyDescent="0.25">
      <c r="A27" t="s">
        <v>1865</v>
      </c>
      <c r="B27" t="s">
        <v>1895</v>
      </c>
      <c r="C27" t="s">
        <v>1896</v>
      </c>
      <c r="D27">
        <v>0</v>
      </c>
      <c r="E27">
        <v>0</v>
      </c>
      <c r="F27">
        <v>0</v>
      </c>
      <c r="G27">
        <v>0</v>
      </c>
    </row>
    <row r="28" spans="1:7" x14ac:dyDescent="0.25">
      <c r="A28" t="s">
        <v>1865</v>
      </c>
      <c r="B28" t="s">
        <v>1897</v>
      </c>
      <c r="C28" t="s">
        <v>1896</v>
      </c>
      <c r="D28">
        <v>0</v>
      </c>
      <c r="E28">
        <v>0</v>
      </c>
      <c r="F28">
        <v>0</v>
      </c>
      <c r="G28">
        <v>0</v>
      </c>
    </row>
    <row r="29" spans="1:7" x14ac:dyDescent="0.25">
      <c r="A29" t="s">
        <v>1865</v>
      </c>
      <c r="B29" t="s">
        <v>1898</v>
      </c>
      <c r="C29" t="s">
        <v>1896</v>
      </c>
      <c r="D29">
        <v>0</v>
      </c>
      <c r="E29">
        <v>0</v>
      </c>
      <c r="F29">
        <v>0</v>
      </c>
      <c r="G29">
        <v>0</v>
      </c>
    </row>
    <row r="30" spans="1:7" x14ac:dyDescent="0.25">
      <c r="A30" t="s">
        <v>1865</v>
      </c>
      <c r="B30" t="s">
        <v>35</v>
      </c>
      <c r="C30" t="s">
        <v>1899</v>
      </c>
      <c r="D30">
        <v>7492642.71</v>
      </c>
      <c r="E30">
        <v>6460395.3599999994</v>
      </c>
      <c r="F30">
        <v>7919755.0800000001</v>
      </c>
      <c r="G30">
        <v>6033282.9900000002</v>
      </c>
    </row>
    <row r="31" spans="1:7" x14ac:dyDescent="0.25">
      <c r="A31" t="s">
        <v>1865</v>
      </c>
      <c r="B31" t="s">
        <v>1900</v>
      </c>
      <c r="C31" t="s">
        <v>1901</v>
      </c>
      <c r="D31">
        <v>7492642.71</v>
      </c>
      <c r="E31">
        <v>6460395.3599999994</v>
      </c>
      <c r="F31">
        <v>7919755.0800000001</v>
      </c>
      <c r="G31">
        <v>6033282.9900000002</v>
      </c>
    </row>
    <row r="32" spans="1:7" x14ac:dyDescent="0.25">
      <c r="A32" t="s">
        <v>1865</v>
      </c>
      <c r="B32" t="s">
        <v>1902</v>
      </c>
      <c r="C32" t="s">
        <v>1903</v>
      </c>
      <c r="D32">
        <v>155022.93</v>
      </c>
      <c r="E32">
        <v>439834.8</v>
      </c>
      <c r="F32">
        <v>582134.4</v>
      </c>
      <c r="G32">
        <v>12723.329999999958</v>
      </c>
    </row>
    <row r="33" spans="1:7" x14ac:dyDescent="0.25">
      <c r="A33" t="s">
        <v>1865</v>
      </c>
      <c r="B33" t="s">
        <v>1904</v>
      </c>
      <c r="C33" t="s">
        <v>1903</v>
      </c>
      <c r="D33">
        <v>155022.93</v>
      </c>
      <c r="E33">
        <v>439834.8</v>
      </c>
      <c r="F33">
        <v>582134.4</v>
      </c>
      <c r="G33">
        <v>12723.329999999958</v>
      </c>
    </row>
    <row r="34" spans="1:7" x14ac:dyDescent="0.25">
      <c r="A34" t="s">
        <v>1865</v>
      </c>
      <c r="B34" t="s">
        <v>1905</v>
      </c>
      <c r="C34" t="s">
        <v>1906</v>
      </c>
      <c r="D34">
        <v>155022.93</v>
      </c>
      <c r="E34">
        <v>439834.8</v>
      </c>
      <c r="F34">
        <v>582134.4</v>
      </c>
      <c r="G34">
        <v>12723.329999999958</v>
      </c>
    </row>
    <row r="35" spans="1:7" x14ac:dyDescent="0.25">
      <c r="A35" t="s">
        <v>1865</v>
      </c>
      <c r="B35" t="s">
        <v>1907</v>
      </c>
      <c r="C35" t="s">
        <v>1908</v>
      </c>
      <c r="D35">
        <v>7337619.7800000003</v>
      </c>
      <c r="E35">
        <v>6020560.5599999996</v>
      </c>
      <c r="F35">
        <v>7337620.6799999997</v>
      </c>
      <c r="G35">
        <v>6020559.6600000001</v>
      </c>
    </row>
    <row r="36" spans="1:7" x14ac:dyDescent="0.25">
      <c r="A36" t="s">
        <v>1865</v>
      </c>
      <c r="B36" t="s">
        <v>1909</v>
      </c>
      <c r="C36" t="s">
        <v>1908</v>
      </c>
      <c r="D36">
        <v>7337619.7800000003</v>
      </c>
      <c r="E36">
        <v>6020560.5599999996</v>
      </c>
      <c r="F36">
        <v>7337620.6799999997</v>
      </c>
      <c r="G36">
        <v>6020559.6600000001</v>
      </c>
    </row>
    <row r="37" spans="1:7" x14ac:dyDescent="0.25">
      <c r="A37" t="s">
        <v>1865</v>
      </c>
      <c r="B37" t="s">
        <v>1910</v>
      </c>
      <c r="C37" t="s">
        <v>1911</v>
      </c>
      <c r="D37">
        <v>7337619.7800000003</v>
      </c>
      <c r="E37">
        <v>6020560.5599999996</v>
      </c>
      <c r="F37">
        <v>7337620.6799999997</v>
      </c>
      <c r="G37">
        <v>6020559.6600000001</v>
      </c>
    </row>
    <row r="38" spans="1:7" x14ac:dyDescent="0.25">
      <c r="A38" t="s">
        <v>1865</v>
      </c>
      <c r="B38" t="s">
        <v>39</v>
      </c>
      <c r="C38" t="s">
        <v>1912</v>
      </c>
      <c r="D38">
        <v>0</v>
      </c>
      <c r="E38">
        <v>3416709362.1500001</v>
      </c>
      <c r="F38">
        <v>3416709362.1500001</v>
      </c>
      <c r="G38">
        <v>0</v>
      </c>
    </row>
    <row r="39" spans="1:7" x14ac:dyDescent="0.25">
      <c r="A39" t="s">
        <v>1865</v>
      </c>
      <c r="B39" t="s">
        <v>1913</v>
      </c>
      <c r="C39" t="s">
        <v>1914</v>
      </c>
      <c r="D39">
        <v>0</v>
      </c>
      <c r="E39">
        <v>3416709362.1500001</v>
      </c>
      <c r="F39">
        <v>3416709362.1500001</v>
      </c>
      <c r="G39">
        <v>0</v>
      </c>
    </row>
    <row r="40" spans="1:7" x14ac:dyDescent="0.25">
      <c r="A40" t="s">
        <v>1865</v>
      </c>
      <c r="B40" t="s">
        <v>1915</v>
      </c>
      <c r="C40" t="s">
        <v>1916</v>
      </c>
      <c r="D40">
        <v>0</v>
      </c>
      <c r="E40">
        <v>3416709362.1500001</v>
      </c>
      <c r="F40">
        <v>3416709362.1500001</v>
      </c>
      <c r="G40">
        <v>0</v>
      </c>
    </row>
    <row r="41" spans="1:7" x14ac:dyDescent="0.25">
      <c r="A41" t="s">
        <v>1865</v>
      </c>
      <c r="B41" t="s">
        <v>1917</v>
      </c>
      <c r="C41" t="s">
        <v>1916</v>
      </c>
      <c r="D41">
        <v>0</v>
      </c>
      <c r="E41">
        <v>3416709362.1500001</v>
      </c>
      <c r="F41">
        <v>3416709362.1500001</v>
      </c>
      <c r="G41">
        <v>0</v>
      </c>
    </row>
    <row r="42" spans="1:7" x14ac:dyDescent="0.25">
      <c r="A42" t="s">
        <v>1865</v>
      </c>
      <c r="B42" t="s">
        <v>1918</v>
      </c>
      <c r="C42" t="s">
        <v>1882</v>
      </c>
      <c r="D42">
        <v>0</v>
      </c>
      <c r="E42">
        <v>3416709362.1500001</v>
      </c>
      <c r="F42">
        <v>3416709362.1500001</v>
      </c>
      <c r="G42">
        <v>0</v>
      </c>
    </row>
    <row r="43" spans="1:7" x14ac:dyDescent="0.25">
      <c r="A43" t="s">
        <v>1865</v>
      </c>
      <c r="B43" t="s">
        <v>43</v>
      </c>
      <c r="C43" t="s">
        <v>1919</v>
      </c>
      <c r="D43">
        <v>80130665.969999999</v>
      </c>
      <c r="E43">
        <v>104125788.77</v>
      </c>
      <c r="F43">
        <v>197799023.48000002</v>
      </c>
      <c r="G43">
        <v>-13542568.74</v>
      </c>
    </row>
    <row r="44" spans="1:7" x14ac:dyDescent="0.25">
      <c r="A44" t="s">
        <v>1865</v>
      </c>
      <c r="B44" t="s">
        <v>1920</v>
      </c>
      <c r="C44" t="s">
        <v>1921</v>
      </c>
      <c r="D44">
        <v>0</v>
      </c>
      <c r="E44">
        <v>0</v>
      </c>
      <c r="F44">
        <v>0</v>
      </c>
      <c r="G44">
        <v>0</v>
      </c>
    </row>
    <row r="45" spans="1:7" x14ac:dyDescent="0.25">
      <c r="A45" t="s">
        <v>1865</v>
      </c>
      <c r="B45" t="s">
        <v>1922</v>
      </c>
      <c r="C45" t="s">
        <v>1923</v>
      </c>
      <c r="D45">
        <v>0</v>
      </c>
      <c r="E45">
        <v>0</v>
      </c>
      <c r="F45">
        <v>0</v>
      </c>
      <c r="G45">
        <v>0</v>
      </c>
    </row>
    <row r="46" spans="1:7" x14ac:dyDescent="0.25">
      <c r="A46" t="s">
        <v>1865</v>
      </c>
      <c r="B46" t="s">
        <v>1924</v>
      </c>
      <c r="C46" t="s">
        <v>1925</v>
      </c>
      <c r="D46">
        <v>0</v>
      </c>
      <c r="E46">
        <v>0</v>
      </c>
      <c r="F46">
        <v>0</v>
      </c>
      <c r="G46">
        <v>0</v>
      </c>
    </row>
    <row r="47" spans="1:7" x14ac:dyDescent="0.25">
      <c r="A47" t="s">
        <v>1865</v>
      </c>
      <c r="B47" t="s">
        <v>1926</v>
      </c>
      <c r="C47" t="s">
        <v>1925</v>
      </c>
      <c r="D47">
        <v>0</v>
      </c>
      <c r="E47">
        <v>0</v>
      </c>
      <c r="F47">
        <v>0</v>
      </c>
      <c r="G47">
        <v>0</v>
      </c>
    </row>
    <row r="48" spans="1:7" x14ac:dyDescent="0.25">
      <c r="A48" t="s">
        <v>1865</v>
      </c>
      <c r="B48" t="s">
        <v>1927</v>
      </c>
      <c r="C48" t="s">
        <v>1928</v>
      </c>
      <c r="D48">
        <v>80130665.969999999</v>
      </c>
      <c r="E48">
        <v>104125788.77</v>
      </c>
      <c r="F48">
        <v>197799023.48000002</v>
      </c>
      <c r="G48">
        <v>-13542568.74</v>
      </c>
    </row>
    <row r="49" spans="1:7" x14ac:dyDescent="0.25">
      <c r="A49" t="s">
        <v>1865</v>
      </c>
      <c r="B49" t="s">
        <v>1929</v>
      </c>
      <c r="C49" t="s">
        <v>1928</v>
      </c>
      <c r="D49">
        <v>80130665.969999999</v>
      </c>
      <c r="E49">
        <v>104125788.77</v>
      </c>
      <c r="F49">
        <v>197799023.48000002</v>
      </c>
      <c r="G49">
        <v>-13542568.74</v>
      </c>
    </row>
    <row r="50" spans="1:7" x14ac:dyDescent="0.25">
      <c r="A50" t="s">
        <v>1865</v>
      </c>
      <c r="B50" t="s">
        <v>1930</v>
      </c>
      <c r="C50" t="s">
        <v>1931</v>
      </c>
      <c r="D50">
        <v>80130665.969999999</v>
      </c>
      <c r="E50">
        <v>104125788.77</v>
      </c>
      <c r="F50">
        <v>197799023.48000002</v>
      </c>
      <c r="G50">
        <v>-13542568.74</v>
      </c>
    </row>
    <row r="51" spans="1:7" x14ac:dyDescent="0.25">
      <c r="A51" t="s">
        <v>1865</v>
      </c>
      <c r="B51" t="s">
        <v>1932</v>
      </c>
      <c r="C51" t="s">
        <v>1931</v>
      </c>
      <c r="D51">
        <v>80130665.969999999</v>
      </c>
      <c r="E51">
        <v>104125788.77</v>
      </c>
      <c r="F51">
        <v>197799023.48000002</v>
      </c>
      <c r="G51">
        <v>-13542568.74</v>
      </c>
    </row>
    <row r="52" spans="1:7" x14ac:dyDescent="0.25">
      <c r="A52" t="s">
        <v>1865</v>
      </c>
      <c r="B52" t="s">
        <v>45</v>
      </c>
      <c r="C52" t="s">
        <v>1933</v>
      </c>
      <c r="D52">
        <v>0</v>
      </c>
      <c r="E52">
        <v>0</v>
      </c>
      <c r="F52">
        <v>0</v>
      </c>
      <c r="G52">
        <v>0</v>
      </c>
    </row>
    <row r="53" spans="1:7" x14ac:dyDescent="0.25">
      <c r="A53" t="s">
        <v>1865</v>
      </c>
      <c r="B53" t="s">
        <v>1934</v>
      </c>
      <c r="C53" t="s">
        <v>1935</v>
      </c>
      <c r="D53">
        <v>0</v>
      </c>
      <c r="E53">
        <v>0</v>
      </c>
      <c r="F53">
        <v>0</v>
      </c>
      <c r="G53">
        <v>0</v>
      </c>
    </row>
    <row r="54" spans="1:7" x14ac:dyDescent="0.25">
      <c r="A54" t="s">
        <v>1865</v>
      </c>
      <c r="B54" t="s">
        <v>1936</v>
      </c>
      <c r="C54" t="s">
        <v>1937</v>
      </c>
      <c r="D54">
        <v>0</v>
      </c>
      <c r="E54">
        <v>0</v>
      </c>
      <c r="F54">
        <v>0</v>
      </c>
      <c r="G54">
        <v>0</v>
      </c>
    </row>
    <row r="55" spans="1:7" x14ac:dyDescent="0.25">
      <c r="A55" t="s">
        <v>1865</v>
      </c>
      <c r="B55" t="s">
        <v>1938</v>
      </c>
      <c r="C55" t="s">
        <v>1937</v>
      </c>
      <c r="D55">
        <v>0</v>
      </c>
      <c r="E55">
        <v>0</v>
      </c>
      <c r="F55">
        <v>0</v>
      </c>
      <c r="G55">
        <v>0</v>
      </c>
    </row>
    <row r="56" spans="1:7" x14ac:dyDescent="0.25">
      <c r="A56" t="s">
        <v>1865</v>
      </c>
      <c r="B56" t="s">
        <v>1939</v>
      </c>
      <c r="C56" t="s">
        <v>1911</v>
      </c>
      <c r="D56">
        <v>0</v>
      </c>
      <c r="E56">
        <v>0</v>
      </c>
      <c r="F56">
        <v>0</v>
      </c>
      <c r="G56">
        <v>0</v>
      </c>
    </row>
    <row r="57" spans="1:7" x14ac:dyDescent="0.25">
      <c r="A57" t="s">
        <v>1865</v>
      </c>
      <c r="B57" t="s">
        <v>55</v>
      </c>
      <c r="C57" t="s">
        <v>1940</v>
      </c>
      <c r="D57">
        <v>9570760</v>
      </c>
      <c r="E57">
        <v>0</v>
      </c>
      <c r="F57">
        <v>0</v>
      </c>
      <c r="G57">
        <v>9570760</v>
      </c>
    </row>
    <row r="58" spans="1:7" x14ac:dyDescent="0.25">
      <c r="A58" t="s">
        <v>1865</v>
      </c>
      <c r="B58" t="s">
        <v>1941</v>
      </c>
      <c r="C58" t="s">
        <v>1942</v>
      </c>
      <c r="D58">
        <v>9570760</v>
      </c>
      <c r="E58">
        <v>0</v>
      </c>
      <c r="F58">
        <v>0</v>
      </c>
      <c r="G58">
        <v>9570760</v>
      </c>
    </row>
    <row r="59" spans="1:7" x14ac:dyDescent="0.25">
      <c r="A59" t="s">
        <v>1865</v>
      </c>
      <c r="B59" t="s">
        <v>1943</v>
      </c>
      <c r="C59" t="s">
        <v>1944</v>
      </c>
      <c r="D59">
        <v>9570760</v>
      </c>
      <c r="E59">
        <v>0</v>
      </c>
      <c r="F59">
        <v>0</v>
      </c>
      <c r="G59">
        <v>9570760</v>
      </c>
    </row>
    <row r="60" spans="1:7" x14ac:dyDescent="0.25">
      <c r="A60" t="s">
        <v>1865</v>
      </c>
      <c r="B60" t="s">
        <v>1945</v>
      </c>
      <c r="C60" t="s">
        <v>1944</v>
      </c>
      <c r="D60">
        <v>9570760</v>
      </c>
      <c r="E60">
        <v>0</v>
      </c>
      <c r="F60">
        <v>0</v>
      </c>
      <c r="G60">
        <v>9570760</v>
      </c>
    </row>
    <row r="61" spans="1:7" x14ac:dyDescent="0.25">
      <c r="A61" t="s">
        <v>1865</v>
      </c>
      <c r="B61" t="s">
        <v>1946</v>
      </c>
      <c r="C61" t="s">
        <v>1944</v>
      </c>
      <c r="D61">
        <v>9570760</v>
      </c>
      <c r="E61">
        <v>0</v>
      </c>
      <c r="F61">
        <v>0</v>
      </c>
      <c r="G61">
        <v>9570760</v>
      </c>
    </row>
    <row r="62" spans="1:7" x14ac:dyDescent="0.25">
      <c r="A62" t="s">
        <v>1865</v>
      </c>
      <c r="B62" t="s">
        <v>57</v>
      </c>
      <c r="C62" t="s">
        <v>1947</v>
      </c>
      <c r="D62">
        <v>-80130665.969999999</v>
      </c>
      <c r="E62">
        <v>80490992.140000001</v>
      </c>
      <c r="F62">
        <v>0</v>
      </c>
      <c r="G62">
        <v>360326.17</v>
      </c>
    </row>
    <row r="63" spans="1:7" x14ac:dyDescent="0.25">
      <c r="A63" t="s">
        <v>1865</v>
      </c>
      <c r="B63" t="s">
        <v>1948</v>
      </c>
      <c r="C63" t="s">
        <v>1949</v>
      </c>
      <c r="D63">
        <v>-80130665.969999999</v>
      </c>
      <c r="E63">
        <v>80490992.140000001</v>
      </c>
      <c r="F63">
        <v>0</v>
      </c>
      <c r="G63">
        <v>360326.17</v>
      </c>
    </row>
    <row r="64" spans="1:7" x14ac:dyDescent="0.25">
      <c r="A64" t="s">
        <v>1865</v>
      </c>
      <c r="B64" t="s">
        <v>1950</v>
      </c>
      <c r="C64" t="s">
        <v>1951</v>
      </c>
      <c r="D64">
        <v>-80130665.969999999</v>
      </c>
      <c r="E64">
        <v>80490992.140000001</v>
      </c>
      <c r="F64">
        <v>0</v>
      </c>
      <c r="G64">
        <v>360326.17</v>
      </c>
    </row>
    <row r="65" spans="1:7" x14ac:dyDescent="0.25">
      <c r="A65" t="s">
        <v>1865</v>
      </c>
      <c r="B65" t="s">
        <v>1952</v>
      </c>
      <c r="C65" t="s">
        <v>1951</v>
      </c>
      <c r="D65">
        <v>-80130665.969999999</v>
      </c>
      <c r="E65">
        <v>80490992.140000001</v>
      </c>
      <c r="F65">
        <v>0</v>
      </c>
      <c r="G65">
        <v>360326.17</v>
      </c>
    </row>
    <row r="66" spans="1:7" x14ac:dyDescent="0.25">
      <c r="A66" t="s">
        <v>1865</v>
      </c>
      <c r="B66" t="s">
        <v>1953</v>
      </c>
      <c r="C66" t="s">
        <v>1911</v>
      </c>
      <c r="D66">
        <v>-80130665.969999999</v>
      </c>
      <c r="E66">
        <v>80490992.140000001</v>
      </c>
      <c r="F66">
        <v>0</v>
      </c>
      <c r="G66">
        <v>360326.17</v>
      </c>
    </row>
    <row r="67" spans="1:7" x14ac:dyDescent="0.25">
      <c r="A67" t="s">
        <v>1865</v>
      </c>
      <c r="B67" t="s">
        <v>59</v>
      </c>
      <c r="C67" t="s">
        <v>1954</v>
      </c>
      <c r="D67">
        <v>1559634.1400000001</v>
      </c>
      <c r="E67">
        <v>4116802.98</v>
      </c>
      <c r="F67">
        <v>1989564.21</v>
      </c>
      <c r="G67">
        <v>3686872.91</v>
      </c>
    </row>
    <row r="68" spans="1:7" x14ac:dyDescent="0.25">
      <c r="A68" t="s">
        <v>1865</v>
      </c>
      <c r="B68" t="s">
        <v>62</v>
      </c>
      <c r="C68" t="s">
        <v>1955</v>
      </c>
      <c r="D68">
        <v>1559634.1400000001</v>
      </c>
      <c r="E68">
        <v>4116802.98</v>
      </c>
      <c r="F68">
        <v>1989564.21</v>
      </c>
      <c r="G68">
        <v>3686872.91</v>
      </c>
    </row>
    <row r="69" spans="1:7" x14ac:dyDescent="0.25">
      <c r="A69" t="s">
        <v>1865</v>
      </c>
      <c r="B69" t="s">
        <v>1956</v>
      </c>
      <c r="C69" t="s">
        <v>1957</v>
      </c>
      <c r="D69">
        <v>499399.4</v>
      </c>
      <c r="E69">
        <v>447215.95</v>
      </c>
      <c r="F69">
        <v>344779.78</v>
      </c>
      <c r="G69">
        <v>601835.57000000007</v>
      </c>
    </row>
    <row r="70" spans="1:7" x14ac:dyDescent="0.25">
      <c r="A70" t="s">
        <v>1865</v>
      </c>
      <c r="B70" t="s">
        <v>1958</v>
      </c>
      <c r="C70" t="s">
        <v>1959</v>
      </c>
      <c r="D70">
        <v>9008</v>
      </c>
      <c r="E70">
        <v>0</v>
      </c>
      <c r="F70">
        <v>9008</v>
      </c>
      <c r="G70">
        <v>0</v>
      </c>
    </row>
    <row r="71" spans="1:7" x14ac:dyDescent="0.25">
      <c r="A71" t="s">
        <v>1865</v>
      </c>
      <c r="B71" t="s">
        <v>1960</v>
      </c>
      <c r="C71" t="s">
        <v>1959</v>
      </c>
      <c r="D71">
        <v>9008</v>
      </c>
      <c r="E71">
        <v>0</v>
      </c>
      <c r="F71">
        <v>9008</v>
      </c>
      <c r="G71">
        <v>0</v>
      </c>
    </row>
    <row r="72" spans="1:7" x14ac:dyDescent="0.25">
      <c r="A72" t="s">
        <v>1865</v>
      </c>
      <c r="B72" t="s">
        <v>1961</v>
      </c>
      <c r="C72" t="s">
        <v>1959</v>
      </c>
      <c r="D72">
        <v>9008</v>
      </c>
      <c r="E72">
        <v>0</v>
      </c>
      <c r="F72">
        <v>9008</v>
      </c>
      <c r="G72">
        <v>0</v>
      </c>
    </row>
    <row r="73" spans="1:7" x14ac:dyDescent="0.25">
      <c r="A73" t="s">
        <v>1865</v>
      </c>
      <c r="B73" t="s">
        <v>1962</v>
      </c>
      <c r="C73" t="s">
        <v>1963</v>
      </c>
      <c r="D73">
        <v>490391.4</v>
      </c>
      <c r="E73">
        <v>447215.95</v>
      </c>
      <c r="F73">
        <v>335771.78</v>
      </c>
      <c r="G73">
        <v>601835.57000000007</v>
      </c>
    </row>
    <row r="74" spans="1:7" x14ac:dyDescent="0.25">
      <c r="A74" t="s">
        <v>1865</v>
      </c>
      <c r="B74" t="s">
        <v>1964</v>
      </c>
      <c r="C74" t="s">
        <v>1963</v>
      </c>
      <c r="D74">
        <v>490391.4</v>
      </c>
      <c r="E74">
        <v>447215.95</v>
      </c>
      <c r="F74">
        <v>335771.78</v>
      </c>
      <c r="G74">
        <v>601835.57000000007</v>
      </c>
    </row>
    <row r="75" spans="1:7" x14ac:dyDescent="0.25">
      <c r="A75" t="s">
        <v>1865</v>
      </c>
      <c r="B75" t="s">
        <v>1965</v>
      </c>
      <c r="C75" t="s">
        <v>1963</v>
      </c>
      <c r="D75">
        <v>490391.4</v>
      </c>
      <c r="E75">
        <v>447215.95</v>
      </c>
      <c r="F75">
        <v>335771.78</v>
      </c>
      <c r="G75">
        <v>601835.57000000007</v>
      </c>
    </row>
    <row r="76" spans="1:7" x14ac:dyDescent="0.25">
      <c r="A76" t="s">
        <v>1865</v>
      </c>
      <c r="B76" t="s">
        <v>1966</v>
      </c>
      <c r="C76" t="s">
        <v>1967</v>
      </c>
      <c r="D76">
        <v>186398.25</v>
      </c>
      <c r="E76">
        <v>1413678.59</v>
      </c>
      <c r="F76">
        <v>598675.75</v>
      </c>
      <c r="G76">
        <v>1001401.0900000001</v>
      </c>
    </row>
    <row r="77" spans="1:7" x14ac:dyDescent="0.25">
      <c r="A77" t="s">
        <v>1865</v>
      </c>
      <c r="B77" t="s">
        <v>1968</v>
      </c>
      <c r="C77" t="s">
        <v>1969</v>
      </c>
      <c r="D77">
        <v>186398.25</v>
      </c>
      <c r="E77">
        <v>1413678.59</v>
      </c>
      <c r="F77">
        <v>598675.75</v>
      </c>
      <c r="G77">
        <v>1001401.0900000001</v>
      </c>
    </row>
    <row r="78" spans="1:7" x14ac:dyDescent="0.25">
      <c r="A78" t="s">
        <v>1865</v>
      </c>
      <c r="B78" t="s">
        <v>1970</v>
      </c>
      <c r="C78" t="s">
        <v>1971</v>
      </c>
      <c r="D78">
        <v>186398.25</v>
      </c>
      <c r="E78">
        <v>1413678.59</v>
      </c>
      <c r="F78">
        <v>598675.75</v>
      </c>
      <c r="G78">
        <v>1001401.0900000001</v>
      </c>
    </row>
    <row r="79" spans="1:7" x14ac:dyDescent="0.25">
      <c r="A79" t="s">
        <v>1865</v>
      </c>
      <c r="B79" t="s">
        <v>1972</v>
      </c>
      <c r="C79" t="s">
        <v>1973</v>
      </c>
      <c r="D79">
        <v>186398.25</v>
      </c>
      <c r="E79">
        <v>1413678.59</v>
      </c>
      <c r="F79">
        <v>598675.75</v>
      </c>
      <c r="G79">
        <v>1001401.0900000001</v>
      </c>
    </row>
    <row r="80" spans="1:7" x14ac:dyDescent="0.25">
      <c r="A80" t="s">
        <v>1865</v>
      </c>
      <c r="B80" t="s">
        <v>1974</v>
      </c>
      <c r="C80" t="s">
        <v>1975</v>
      </c>
      <c r="D80">
        <v>873836.49</v>
      </c>
      <c r="E80">
        <v>2255908.44</v>
      </c>
      <c r="F80">
        <v>1046108.68</v>
      </c>
      <c r="G80">
        <v>2083636.25</v>
      </c>
    </row>
    <row r="81" spans="1:7" x14ac:dyDescent="0.25">
      <c r="A81" t="s">
        <v>1865</v>
      </c>
      <c r="B81" t="s">
        <v>1976</v>
      </c>
      <c r="C81" t="s">
        <v>1977</v>
      </c>
      <c r="D81">
        <v>235614.12</v>
      </c>
      <c r="E81">
        <v>393125.06</v>
      </c>
      <c r="F81">
        <v>86698.37</v>
      </c>
      <c r="G81">
        <v>542040.80999999994</v>
      </c>
    </row>
    <row r="82" spans="1:7" x14ac:dyDescent="0.25">
      <c r="A82" t="s">
        <v>1865</v>
      </c>
      <c r="B82" t="s">
        <v>1978</v>
      </c>
      <c r="C82" t="s">
        <v>1977</v>
      </c>
      <c r="D82">
        <v>235614.12</v>
      </c>
      <c r="E82">
        <v>393125.06</v>
      </c>
      <c r="F82">
        <v>86698.37</v>
      </c>
      <c r="G82">
        <v>542040.80999999994</v>
      </c>
    </row>
    <row r="83" spans="1:7" x14ac:dyDescent="0.25">
      <c r="A83" t="s">
        <v>1865</v>
      </c>
      <c r="B83" t="s">
        <v>1979</v>
      </c>
      <c r="C83" t="s">
        <v>1977</v>
      </c>
      <c r="D83">
        <v>235614.12</v>
      </c>
      <c r="E83">
        <v>393125.06</v>
      </c>
      <c r="F83">
        <v>86698.37</v>
      </c>
      <c r="G83">
        <v>542040.80999999994</v>
      </c>
    </row>
    <row r="84" spans="1:7" x14ac:dyDescent="0.25">
      <c r="A84" t="s">
        <v>1865</v>
      </c>
      <c r="B84" t="s">
        <v>1980</v>
      </c>
      <c r="C84" t="s">
        <v>1981</v>
      </c>
      <c r="D84">
        <v>479497.06</v>
      </c>
      <c r="E84">
        <v>1752608.38</v>
      </c>
      <c r="F84">
        <v>895753.5</v>
      </c>
      <c r="G84">
        <v>1336351.94</v>
      </c>
    </row>
    <row r="85" spans="1:7" x14ac:dyDescent="0.25">
      <c r="A85" t="s">
        <v>1865</v>
      </c>
      <c r="B85" t="s">
        <v>1982</v>
      </c>
      <c r="C85" t="s">
        <v>1981</v>
      </c>
      <c r="D85">
        <v>479497.06</v>
      </c>
      <c r="E85">
        <v>1752608.38</v>
      </c>
      <c r="F85">
        <v>895753.5</v>
      </c>
      <c r="G85">
        <v>1336351.94</v>
      </c>
    </row>
    <row r="86" spans="1:7" x14ac:dyDescent="0.25">
      <c r="A86" t="s">
        <v>1865</v>
      </c>
      <c r="B86" t="s">
        <v>1983</v>
      </c>
      <c r="C86" t="s">
        <v>1981</v>
      </c>
      <c r="D86">
        <v>479497.06</v>
      </c>
      <c r="E86">
        <v>1752608.38</v>
      </c>
      <c r="F86">
        <v>895753.5</v>
      </c>
      <c r="G86">
        <v>1336351.94</v>
      </c>
    </row>
    <row r="87" spans="1:7" x14ac:dyDescent="0.25">
      <c r="A87" t="s">
        <v>1865</v>
      </c>
      <c r="B87" t="s">
        <v>1984</v>
      </c>
      <c r="C87" t="s">
        <v>1815</v>
      </c>
      <c r="D87">
        <v>157956.29999999999</v>
      </c>
      <c r="E87">
        <v>0</v>
      </c>
      <c r="F87">
        <v>18817.8</v>
      </c>
      <c r="G87">
        <v>139138.5</v>
      </c>
    </row>
    <row r="88" spans="1:7" x14ac:dyDescent="0.25">
      <c r="A88" t="s">
        <v>1865</v>
      </c>
      <c r="B88" t="s">
        <v>1985</v>
      </c>
      <c r="C88" t="s">
        <v>1815</v>
      </c>
      <c r="D88">
        <v>157956.29999999999</v>
      </c>
      <c r="E88">
        <v>0</v>
      </c>
      <c r="F88">
        <v>18817.8</v>
      </c>
      <c r="G88">
        <v>139138.5</v>
      </c>
    </row>
    <row r="89" spans="1:7" x14ac:dyDescent="0.25">
      <c r="A89" t="s">
        <v>1865</v>
      </c>
      <c r="B89" t="s">
        <v>1986</v>
      </c>
      <c r="C89" t="s">
        <v>1815</v>
      </c>
      <c r="D89">
        <v>157956.29999999999</v>
      </c>
      <c r="E89">
        <v>0</v>
      </c>
      <c r="F89">
        <v>18817.8</v>
      </c>
      <c r="G89">
        <v>139138.5</v>
      </c>
    </row>
    <row r="90" spans="1:7" x14ac:dyDescent="0.25">
      <c r="A90" t="s">
        <v>1865</v>
      </c>
      <c r="B90" t="s">
        <v>1987</v>
      </c>
      <c r="C90" t="s">
        <v>1988</v>
      </c>
      <c r="D90">
        <v>769.01</v>
      </c>
      <c r="E90">
        <v>110175</v>
      </c>
      <c r="F90">
        <v>44839.01</v>
      </c>
      <c r="G90">
        <v>66105</v>
      </c>
    </row>
    <row r="91" spans="1:7" x14ac:dyDescent="0.25">
      <c r="A91" t="s">
        <v>1865</v>
      </c>
      <c r="B91" t="s">
        <v>1989</v>
      </c>
      <c r="C91" t="s">
        <v>1988</v>
      </c>
      <c r="D91">
        <v>769.01</v>
      </c>
      <c r="E91">
        <v>110175</v>
      </c>
      <c r="F91">
        <v>44839.01</v>
      </c>
      <c r="G91">
        <v>66105</v>
      </c>
    </row>
    <row r="92" spans="1:7" x14ac:dyDescent="0.25">
      <c r="A92" t="s">
        <v>1865</v>
      </c>
      <c r="B92" t="s">
        <v>1990</v>
      </c>
      <c r="C92" t="s">
        <v>1991</v>
      </c>
      <c r="D92">
        <v>769.01</v>
      </c>
      <c r="E92">
        <v>110175</v>
      </c>
      <c r="F92">
        <v>44839.01</v>
      </c>
      <c r="G92">
        <v>66105</v>
      </c>
    </row>
    <row r="93" spans="1:7" x14ac:dyDescent="0.25">
      <c r="A93" t="s">
        <v>1865</v>
      </c>
      <c r="B93" t="s">
        <v>72</v>
      </c>
      <c r="C93" t="s">
        <v>1992</v>
      </c>
      <c r="D93">
        <v>39783.130000000005</v>
      </c>
      <c r="E93">
        <v>107397736.68000001</v>
      </c>
      <c r="F93">
        <v>105770727.19000001</v>
      </c>
      <c r="G93">
        <v>1666792.6200000048</v>
      </c>
    </row>
    <row r="94" spans="1:7" x14ac:dyDescent="0.25">
      <c r="A94" t="s">
        <v>1865</v>
      </c>
      <c r="B94" t="s">
        <v>75</v>
      </c>
      <c r="C94" t="s">
        <v>1993</v>
      </c>
      <c r="D94">
        <v>32344.04</v>
      </c>
      <c r="E94">
        <v>5947841</v>
      </c>
      <c r="F94">
        <v>5947841.04</v>
      </c>
      <c r="G94">
        <v>32343.999999999964</v>
      </c>
    </row>
    <row r="95" spans="1:7" x14ac:dyDescent="0.25">
      <c r="A95" t="s">
        <v>1865</v>
      </c>
      <c r="B95" t="s">
        <v>1994</v>
      </c>
      <c r="C95" t="s">
        <v>1995</v>
      </c>
      <c r="D95">
        <v>0</v>
      </c>
      <c r="E95">
        <v>5947841</v>
      </c>
      <c r="F95">
        <v>5947841.04</v>
      </c>
      <c r="G95">
        <v>-0.04</v>
      </c>
    </row>
    <row r="96" spans="1:7" x14ac:dyDescent="0.25">
      <c r="A96" t="s">
        <v>1865</v>
      </c>
      <c r="B96" t="s">
        <v>1996</v>
      </c>
      <c r="C96" t="s">
        <v>1997</v>
      </c>
      <c r="D96">
        <v>0</v>
      </c>
      <c r="E96">
        <v>5947841</v>
      </c>
      <c r="F96">
        <v>5947841.04</v>
      </c>
      <c r="G96">
        <v>-0.04</v>
      </c>
    </row>
    <row r="97" spans="1:7" x14ac:dyDescent="0.25">
      <c r="A97" t="s">
        <v>1865</v>
      </c>
      <c r="B97" t="s">
        <v>1998</v>
      </c>
      <c r="C97" t="s">
        <v>1997</v>
      </c>
      <c r="D97">
        <v>0</v>
      </c>
      <c r="E97">
        <v>5947841</v>
      </c>
      <c r="F97">
        <v>5947841.04</v>
      </c>
      <c r="G97">
        <v>-0.04</v>
      </c>
    </row>
    <row r="98" spans="1:7" x14ac:dyDescent="0.25">
      <c r="A98" t="s">
        <v>1865</v>
      </c>
      <c r="B98" t="s">
        <v>1999</v>
      </c>
      <c r="C98" t="s">
        <v>1906</v>
      </c>
      <c r="D98">
        <v>0</v>
      </c>
      <c r="E98">
        <v>5947841</v>
      </c>
      <c r="F98">
        <v>5947841.04</v>
      </c>
      <c r="G98">
        <v>-0.04</v>
      </c>
    </row>
    <row r="99" spans="1:7" x14ac:dyDescent="0.25">
      <c r="A99" t="s">
        <v>1865</v>
      </c>
      <c r="B99" t="s">
        <v>2000</v>
      </c>
      <c r="C99" t="s">
        <v>2001</v>
      </c>
      <c r="D99">
        <v>32344.04</v>
      </c>
      <c r="E99">
        <v>0</v>
      </c>
      <c r="F99">
        <v>0</v>
      </c>
      <c r="G99">
        <v>32344.04</v>
      </c>
    </row>
    <row r="100" spans="1:7" x14ac:dyDescent="0.25">
      <c r="A100" t="s">
        <v>1865</v>
      </c>
      <c r="B100" t="s">
        <v>2002</v>
      </c>
      <c r="C100" t="s">
        <v>2001</v>
      </c>
      <c r="D100">
        <v>32344.04</v>
      </c>
      <c r="E100">
        <v>0</v>
      </c>
      <c r="F100">
        <v>0</v>
      </c>
      <c r="G100">
        <v>32344.04</v>
      </c>
    </row>
    <row r="101" spans="1:7" x14ac:dyDescent="0.25">
      <c r="A101" t="s">
        <v>1865</v>
      </c>
      <c r="B101" t="s">
        <v>2003</v>
      </c>
      <c r="C101" t="s">
        <v>2001</v>
      </c>
      <c r="D101">
        <v>32344.04</v>
      </c>
      <c r="E101">
        <v>0</v>
      </c>
      <c r="F101">
        <v>0</v>
      </c>
      <c r="G101">
        <v>32344.04</v>
      </c>
    </row>
    <row r="102" spans="1:7" x14ac:dyDescent="0.25">
      <c r="A102" t="s">
        <v>1865</v>
      </c>
      <c r="B102" t="s">
        <v>2004</v>
      </c>
      <c r="C102" t="s">
        <v>2005</v>
      </c>
      <c r="D102">
        <v>32344.04</v>
      </c>
      <c r="E102">
        <v>0</v>
      </c>
      <c r="F102">
        <v>0</v>
      </c>
      <c r="G102">
        <v>32344.04</v>
      </c>
    </row>
    <row r="103" spans="1:7" x14ac:dyDescent="0.25">
      <c r="A103" t="s">
        <v>1865</v>
      </c>
      <c r="B103" t="s">
        <v>77</v>
      </c>
      <c r="C103" t="s">
        <v>2006</v>
      </c>
      <c r="D103">
        <v>7439.09</v>
      </c>
      <c r="E103">
        <v>101449895.68000001</v>
      </c>
      <c r="F103">
        <v>99822886.150000006</v>
      </c>
      <c r="G103">
        <v>1634448.6200000048</v>
      </c>
    </row>
    <row r="104" spans="1:7" x14ac:dyDescent="0.25">
      <c r="A104" t="s">
        <v>1865</v>
      </c>
      <c r="B104" t="s">
        <v>2007</v>
      </c>
      <c r="C104" t="s">
        <v>2008</v>
      </c>
      <c r="D104">
        <v>7439.09</v>
      </c>
      <c r="E104">
        <v>101449895.68000001</v>
      </c>
      <c r="F104">
        <v>99822886.150000006</v>
      </c>
      <c r="G104">
        <v>1634448.6200000048</v>
      </c>
    </row>
    <row r="105" spans="1:7" x14ac:dyDescent="0.25">
      <c r="A105" t="s">
        <v>1865</v>
      </c>
      <c r="B105" t="s">
        <v>2009</v>
      </c>
      <c r="C105" t="s">
        <v>2010</v>
      </c>
      <c r="D105">
        <v>7439.09</v>
      </c>
      <c r="E105">
        <v>101449895.68000001</v>
      </c>
      <c r="F105">
        <v>99822886.150000006</v>
      </c>
      <c r="G105">
        <v>1634448.6200000048</v>
      </c>
    </row>
    <row r="106" spans="1:7" x14ac:dyDescent="0.25">
      <c r="A106" t="s">
        <v>1865</v>
      </c>
      <c r="B106" t="s">
        <v>2011</v>
      </c>
      <c r="C106" t="s">
        <v>2010</v>
      </c>
      <c r="D106">
        <v>7439.09</v>
      </c>
      <c r="E106">
        <v>101449895.68000001</v>
      </c>
      <c r="F106">
        <v>99822886.150000006</v>
      </c>
      <c r="G106">
        <v>1634448.6200000048</v>
      </c>
    </row>
    <row r="107" spans="1:7" x14ac:dyDescent="0.25">
      <c r="A107" t="s">
        <v>1865</v>
      </c>
      <c r="B107" t="s">
        <v>2012</v>
      </c>
      <c r="C107" t="s">
        <v>2010</v>
      </c>
      <c r="D107">
        <v>7439.09</v>
      </c>
      <c r="E107">
        <v>101449895.68000001</v>
      </c>
      <c r="F107">
        <v>99822886.150000006</v>
      </c>
      <c r="G107">
        <v>1634448.6200000048</v>
      </c>
    </row>
    <row r="108" spans="1:7" x14ac:dyDescent="0.25">
      <c r="A108" t="s">
        <v>1865</v>
      </c>
      <c r="B108" t="s">
        <v>82</v>
      </c>
      <c r="C108" t="s">
        <v>2013</v>
      </c>
      <c r="D108">
        <v>2080267628.1099997</v>
      </c>
      <c r="E108">
        <v>885512452.93000007</v>
      </c>
      <c r="F108">
        <v>747644130.22000003</v>
      </c>
      <c r="G108">
        <v>2218135950.8200002</v>
      </c>
    </row>
    <row r="109" spans="1:7" x14ac:dyDescent="0.25">
      <c r="A109" t="s">
        <v>1865</v>
      </c>
      <c r="B109" t="s">
        <v>114</v>
      </c>
      <c r="C109" t="s">
        <v>868</v>
      </c>
      <c r="D109">
        <v>1474779078.1499996</v>
      </c>
      <c r="E109">
        <v>792301282.07000005</v>
      </c>
      <c r="F109">
        <v>589873324.32000005</v>
      </c>
      <c r="G109">
        <v>1677207035.8999996</v>
      </c>
    </row>
    <row r="110" spans="1:7" x14ac:dyDescent="0.25">
      <c r="A110" t="s">
        <v>1865</v>
      </c>
      <c r="B110" t="s">
        <v>117</v>
      </c>
      <c r="C110" t="s">
        <v>2014</v>
      </c>
      <c r="D110">
        <v>1466190177.0399997</v>
      </c>
      <c r="E110">
        <v>748838298.9000001</v>
      </c>
      <c r="F110">
        <v>569933989.94000006</v>
      </c>
      <c r="G110">
        <v>1645094485.9999995</v>
      </c>
    </row>
    <row r="111" spans="1:7" x14ac:dyDescent="0.25">
      <c r="A111" t="s">
        <v>1865</v>
      </c>
      <c r="B111" t="s">
        <v>1596</v>
      </c>
      <c r="C111" t="s">
        <v>2015</v>
      </c>
      <c r="D111">
        <v>164971400</v>
      </c>
      <c r="E111">
        <v>266381647.94</v>
      </c>
      <c r="F111">
        <v>0</v>
      </c>
      <c r="G111">
        <v>431353047.94000006</v>
      </c>
    </row>
    <row r="112" spans="1:7" x14ac:dyDescent="0.25">
      <c r="A112" t="s">
        <v>1865</v>
      </c>
      <c r="B112" t="s">
        <v>2016</v>
      </c>
      <c r="C112" t="s">
        <v>2017</v>
      </c>
      <c r="D112">
        <v>164971400</v>
      </c>
      <c r="E112">
        <v>266381647.94</v>
      </c>
      <c r="F112">
        <v>0</v>
      </c>
      <c r="G112">
        <v>431353047.94000006</v>
      </c>
    </row>
    <row r="113" spans="1:7" x14ac:dyDescent="0.25">
      <c r="A113" t="s">
        <v>1865</v>
      </c>
      <c r="B113" t="s">
        <v>2018</v>
      </c>
      <c r="C113" t="s">
        <v>2019</v>
      </c>
      <c r="D113">
        <v>199989.6</v>
      </c>
      <c r="E113">
        <v>0</v>
      </c>
      <c r="F113">
        <v>0</v>
      </c>
      <c r="G113">
        <v>199989.6</v>
      </c>
    </row>
    <row r="114" spans="1:7" x14ac:dyDescent="0.25">
      <c r="A114" t="s">
        <v>1865</v>
      </c>
      <c r="B114" t="s">
        <v>2020</v>
      </c>
      <c r="C114" t="s">
        <v>2021</v>
      </c>
      <c r="D114">
        <v>199989.6</v>
      </c>
      <c r="E114">
        <v>0</v>
      </c>
      <c r="F114">
        <v>0</v>
      </c>
      <c r="G114">
        <v>199989.6</v>
      </c>
    </row>
    <row r="115" spans="1:7" x14ac:dyDescent="0.25">
      <c r="A115" t="s">
        <v>1865</v>
      </c>
      <c r="B115" t="s">
        <v>2022</v>
      </c>
      <c r="C115" t="s">
        <v>2023</v>
      </c>
      <c r="D115">
        <v>164771410.40000001</v>
      </c>
      <c r="E115">
        <v>266381647.94</v>
      </c>
      <c r="F115">
        <v>0</v>
      </c>
      <c r="G115">
        <v>431153058.34000003</v>
      </c>
    </row>
    <row r="116" spans="1:7" x14ac:dyDescent="0.25">
      <c r="A116" t="s">
        <v>1865</v>
      </c>
      <c r="B116" t="s">
        <v>2024</v>
      </c>
      <c r="C116" t="s">
        <v>2023</v>
      </c>
      <c r="D116">
        <v>164771410.40000001</v>
      </c>
      <c r="E116">
        <v>266381647.94</v>
      </c>
      <c r="F116">
        <v>0</v>
      </c>
      <c r="G116">
        <v>431153058.34000003</v>
      </c>
    </row>
    <row r="117" spans="1:7" x14ac:dyDescent="0.25">
      <c r="A117" t="s">
        <v>1865</v>
      </c>
      <c r="B117" t="s">
        <v>1597</v>
      </c>
      <c r="C117" t="s">
        <v>2025</v>
      </c>
      <c r="D117">
        <v>1192247091.3799999</v>
      </c>
      <c r="E117">
        <v>39798872.75</v>
      </c>
      <c r="F117">
        <v>131852745.53</v>
      </c>
      <c r="G117">
        <v>1100193218.5999999</v>
      </c>
    </row>
    <row r="118" spans="1:7" x14ac:dyDescent="0.25">
      <c r="A118" t="s">
        <v>1865</v>
      </c>
      <c r="B118" t="s">
        <v>2026</v>
      </c>
      <c r="C118" t="s">
        <v>2027</v>
      </c>
      <c r="D118">
        <v>1192247091.3799999</v>
      </c>
      <c r="E118">
        <v>39798872.75</v>
      </c>
      <c r="F118">
        <v>131852745.53</v>
      </c>
      <c r="G118">
        <v>1100193218.5999999</v>
      </c>
    </row>
    <row r="119" spans="1:7" x14ac:dyDescent="0.25">
      <c r="A119" t="s">
        <v>1865</v>
      </c>
      <c r="B119" t="s">
        <v>2028</v>
      </c>
      <c r="C119" t="s">
        <v>2019</v>
      </c>
      <c r="D119">
        <v>1281546549.03</v>
      </c>
      <c r="E119">
        <v>0</v>
      </c>
      <c r="F119">
        <v>0</v>
      </c>
      <c r="G119">
        <v>1281546549.03</v>
      </c>
    </row>
    <row r="120" spans="1:7" x14ac:dyDescent="0.25">
      <c r="A120" t="s">
        <v>1865</v>
      </c>
      <c r="B120" t="s">
        <v>2029</v>
      </c>
      <c r="C120" t="s">
        <v>2030</v>
      </c>
      <c r="D120">
        <v>1281546549.03</v>
      </c>
      <c r="E120">
        <v>0</v>
      </c>
      <c r="F120">
        <v>0</v>
      </c>
      <c r="G120">
        <v>1281546549.03</v>
      </c>
    </row>
    <row r="121" spans="1:7" x14ac:dyDescent="0.25">
      <c r="A121" t="s">
        <v>1865</v>
      </c>
      <c r="B121" t="s">
        <v>2031</v>
      </c>
      <c r="C121" t="s">
        <v>2023</v>
      </c>
      <c r="D121">
        <v>0</v>
      </c>
      <c r="E121">
        <v>39798872.75</v>
      </c>
      <c r="F121">
        <v>0</v>
      </c>
      <c r="G121">
        <v>39798872.75</v>
      </c>
    </row>
    <row r="122" spans="1:7" x14ac:dyDescent="0.25">
      <c r="A122" t="s">
        <v>1865</v>
      </c>
      <c r="B122" t="s">
        <v>2029</v>
      </c>
      <c r="C122" t="s">
        <v>2032</v>
      </c>
      <c r="D122">
        <v>0</v>
      </c>
      <c r="E122">
        <v>39798872.75</v>
      </c>
      <c r="F122">
        <v>0</v>
      </c>
      <c r="G122">
        <v>39798872.75</v>
      </c>
    </row>
    <row r="123" spans="1:7" x14ac:dyDescent="0.25">
      <c r="A123" t="s">
        <v>1865</v>
      </c>
      <c r="B123" t="s">
        <v>2033</v>
      </c>
      <c r="C123" t="s">
        <v>2034</v>
      </c>
      <c r="D123">
        <v>-89299457.650000006</v>
      </c>
      <c r="E123">
        <v>0</v>
      </c>
      <c r="F123">
        <v>22243492.100000001</v>
      </c>
      <c r="G123">
        <v>-111542949.75</v>
      </c>
    </row>
    <row r="124" spans="1:7" x14ac:dyDescent="0.25">
      <c r="A124" t="s">
        <v>1865</v>
      </c>
      <c r="B124" t="s">
        <v>2035</v>
      </c>
      <c r="C124" t="s">
        <v>2036</v>
      </c>
      <c r="D124">
        <v>-89299457.650000006</v>
      </c>
      <c r="E124">
        <v>0</v>
      </c>
      <c r="F124">
        <v>22243492.100000001</v>
      </c>
      <c r="G124">
        <v>-111542949.75</v>
      </c>
    </row>
    <row r="125" spans="1:7" x14ac:dyDescent="0.25">
      <c r="A125" t="s">
        <v>1865</v>
      </c>
      <c r="B125" t="s">
        <v>2037</v>
      </c>
      <c r="C125" t="s">
        <v>2038</v>
      </c>
      <c r="D125">
        <v>0</v>
      </c>
      <c r="E125">
        <v>0</v>
      </c>
      <c r="F125">
        <v>109609253.43000001</v>
      </c>
      <c r="G125">
        <v>-109609253.43000001</v>
      </c>
    </row>
    <row r="126" spans="1:7" x14ac:dyDescent="0.25">
      <c r="A126" t="s">
        <v>1865</v>
      </c>
      <c r="B126" t="s">
        <v>2039</v>
      </c>
      <c r="C126" t="s">
        <v>2040</v>
      </c>
      <c r="D126">
        <v>0</v>
      </c>
      <c r="E126">
        <v>0</v>
      </c>
      <c r="F126">
        <v>109609253.43000001</v>
      </c>
      <c r="G126">
        <v>-109609253.43000001</v>
      </c>
    </row>
    <row r="127" spans="1:7" x14ac:dyDescent="0.25">
      <c r="A127" t="s">
        <v>1865</v>
      </c>
      <c r="B127" t="s">
        <v>1598</v>
      </c>
      <c r="C127" t="s">
        <v>2041</v>
      </c>
      <c r="D127">
        <v>12552381.75</v>
      </c>
      <c r="E127">
        <v>0</v>
      </c>
      <c r="F127">
        <v>929844.48</v>
      </c>
      <c r="G127">
        <v>11622537.270000001</v>
      </c>
    </row>
    <row r="128" spans="1:7" x14ac:dyDescent="0.25">
      <c r="A128" t="s">
        <v>1865</v>
      </c>
      <c r="B128" t="s">
        <v>2042</v>
      </c>
      <c r="C128" t="s">
        <v>2043</v>
      </c>
      <c r="D128">
        <v>12552381.75</v>
      </c>
      <c r="E128">
        <v>0</v>
      </c>
      <c r="F128">
        <v>929844.48</v>
      </c>
      <c r="G128">
        <v>11622537.270000001</v>
      </c>
    </row>
    <row r="129" spans="1:7" x14ac:dyDescent="0.25">
      <c r="A129" t="s">
        <v>1865</v>
      </c>
      <c r="B129" t="s">
        <v>2044</v>
      </c>
      <c r="C129" t="s">
        <v>2019</v>
      </c>
      <c r="D129">
        <v>16267079.300000001</v>
      </c>
      <c r="E129">
        <v>0</v>
      </c>
      <c r="F129">
        <v>0</v>
      </c>
      <c r="G129">
        <v>16267079.300000001</v>
      </c>
    </row>
    <row r="130" spans="1:7" x14ac:dyDescent="0.25">
      <c r="A130" t="s">
        <v>1865</v>
      </c>
      <c r="B130" t="s">
        <v>2045</v>
      </c>
      <c r="C130" t="s">
        <v>2046</v>
      </c>
      <c r="D130">
        <v>16267079.300000001</v>
      </c>
      <c r="E130">
        <v>0</v>
      </c>
      <c r="F130">
        <v>0</v>
      </c>
      <c r="G130">
        <v>16267079.300000001</v>
      </c>
    </row>
    <row r="131" spans="1:7" x14ac:dyDescent="0.25">
      <c r="A131" t="s">
        <v>1865</v>
      </c>
      <c r="B131" t="s">
        <v>2047</v>
      </c>
      <c r="C131" t="s">
        <v>2048</v>
      </c>
      <c r="D131">
        <v>-3714697.55</v>
      </c>
      <c r="E131">
        <v>0</v>
      </c>
      <c r="F131">
        <v>929844.48</v>
      </c>
      <c r="G131">
        <v>-4644542.0299999993</v>
      </c>
    </row>
    <row r="132" spans="1:7" x14ac:dyDescent="0.25">
      <c r="A132" t="s">
        <v>1865</v>
      </c>
      <c r="B132" t="s">
        <v>2049</v>
      </c>
      <c r="C132" t="s">
        <v>2050</v>
      </c>
      <c r="D132">
        <v>-3714697.55</v>
      </c>
      <c r="E132">
        <v>0</v>
      </c>
      <c r="F132">
        <v>929844.48</v>
      </c>
      <c r="G132">
        <v>-4644542.0299999993</v>
      </c>
    </row>
    <row r="133" spans="1:7" x14ac:dyDescent="0.25">
      <c r="A133" t="s">
        <v>1865</v>
      </c>
      <c r="B133" t="s">
        <v>1599</v>
      </c>
      <c r="C133" t="s">
        <v>2051</v>
      </c>
      <c r="D133">
        <v>6363625.3599999994</v>
      </c>
      <c r="E133">
        <v>0</v>
      </c>
      <c r="F133">
        <v>362033.76</v>
      </c>
      <c r="G133">
        <v>6001591.6000000015</v>
      </c>
    </row>
    <row r="134" spans="1:7" x14ac:dyDescent="0.25">
      <c r="A134" t="s">
        <v>1865</v>
      </c>
      <c r="B134" t="s">
        <v>2052</v>
      </c>
      <c r="C134" t="s">
        <v>2053</v>
      </c>
      <c r="D134">
        <v>6363625.3599999994</v>
      </c>
      <c r="E134">
        <v>0</v>
      </c>
      <c r="F134">
        <v>362033.76</v>
      </c>
      <c r="G134">
        <v>6001591.6000000015</v>
      </c>
    </row>
    <row r="135" spans="1:7" x14ac:dyDescent="0.25">
      <c r="A135" t="s">
        <v>1865</v>
      </c>
      <c r="B135" t="s">
        <v>2054</v>
      </c>
      <c r="C135" t="s">
        <v>2019</v>
      </c>
      <c r="D135">
        <v>60015916</v>
      </c>
      <c r="E135">
        <v>0</v>
      </c>
      <c r="F135">
        <v>0</v>
      </c>
      <c r="G135">
        <v>60015916</v>
      </c>
    </row>
    <row r="136" spans="1:7" x14ac:dyDescent="0.25">
      <c r="A136" t="s">
        <v>1865</v>
      </c>
      <c r="B136" t="s">
        <v>2055</v>
      </c>
      <c r="C136" t="s">
        <v>2056</v>
      </c>
      <c r="D136">
        <v>60015916</v>
      </c>
      <c r="E136">
        <v>0</v>
      </c>
      <c r="F136">
        <v>0</v>
      </c>
      <c r="G136">
        <v>60015916</v>
      </c>
    </row>
    <row r="137" spans="1:7" x14ac:dyDescent="0.25">
      <c r="A137" t="s">
        <v>1865</v>
      </c>
      <c r="B137" t="s">
        <v>2057</v>
      </c>
      <c r="C137" t="s">
        <v>2048</v>
      </c>
      <c r="D137">
        <v>-53652290.640000001</v>
      </c>
      <c r="E137">
        <v>0</v>
      </c>
      <c r="F137">
        <v>362033.76</v>
      </c>
      <c r="G137">
        <v>-54014324.399999999</v>
      </c>
    </row>
    <row r="138" spans="1:7" x14ac:dyDescent="0.25">
      <c r="A138" t="s">
        <v>1865</v>
      </c>
      <c r="B138" t="s">
        <v>2058</v>
      </c>
      <c r="C138" t="s">
        <v>2059</v>
      </c>
      <c r="D138">
        <v>-53652290.640000001</v>
      </c>
      <c r="E138">
        <v>0</v>
      </c>
      <c r="F138">
        <v>362033.76</v>
      </c>
      <c r="G138">
        <v>-54014324.399999999</v>
      </c>
    </row>
    <row r="139" spans="1:7" x14ac:dyDescent="0.25">
      <c r="A139" t="s">
        <v>1865</v>
      </c>
      <c r="B139" t="s">
        <v>1600</v>
      </c>
      <c r="C139" t="s">
        <v>2060</v>
      </c>
      <c r="D139">
        <v>11302438.6</v>
      </c>
      <c r="E139">
        <v>0</v>
      </c>
      <c r="F139">
        <v>1364510.31</v>
      </c>
      <c r="G139">
        <v>9937928.2899999991</v>
      </c>
    </row>
    <row r="140" spans="1:7" x14ac:dyDescent="0.25">
      <c r="A140" t="s">
        <v>1865</v>
      </c>
      <c r="B140" t="s">
        <v>2061</v>
      </c>
      <c r="C140" t="s">
        <v>2062</v>
      </c>
      <c r="D140">
        <v>719762.09999999963</v>
      </c>
      <c r="E140">
        <v>0</v>
      </c>
      <c r="F140">
        <v>34833.480000000003</v>
      </c>
      <c r="G140">
        <v>684928.62</v>
      </c>
    </row>
    <row r="141" spans="1:7" x14ac:dyDescent="0.25">
      <c r="A141" t="s">
        <v>1865</v>
      </c>
      <c r="B141" t="s">
        <v>2063</v>
      </c>
      <c r="C141" t="s">
        <v>2019</v>
      </c>
      <c r="D141">
        <v>6178674.75</v>
      </c>
      <c r="E141">
        <v>0</v>
      </c>
      <c r="F141">
        <v>0</v>
      </c>
      <c r="G141">
        <v>6178674.75</v>
      </c>
    </row>
    <row r="142" spans="1:7" x14ac:dyDescent="0.25">
      <c r="A142" t="s">
        <v>1865</v>
      </c>
      <c r="B142" t="s">
        <v>2064</v>
      </c>
      <c r="C142" t="s">
        <v>2065</v>
      </c>
      <c r="D142">
        <v>6178674.75</v>
      </c>
      <c r="E142">
        <v>0</v>
      </c>
      <c r="F142">
        <v>0</v>
      </c>
      <c r="G142">
        <v>6178674.75</v>
      </c>
    </row>
    <row r="143" spans="1:7" x14ac:dyDescent="0.25">
      <c r="A143" t="s">
        <v>1865</v>
      </c>
      <c r="B143" t="s">
        <v>2066</v>
      </c>
      <c r="C143" t="s">
        <v>2034</v>
      </c>
      <c r="D143">
        <v>-5458912.6500000004</v>
      </c>
      <c r="E143">
        <v>0</v>
      </c>
      <c r="F143">
        <v>34833.480000000003</v>
      </c>
      <c r="G143">
        <v>-5493746.1300000008</v>
      </c>
    </row>
    <row r="144" spans="1:7" x14ac:dyDescent="0.25">
      <c r="A144" t="s">
        <v>1865</v>
      </c>
      <c r="B144" t="s">
        <v>2067</v>
      </c>
      <c r="C144" t="s">
        <v>2068</v>
      </c>
      <c r="D144">
        <v>-5458912.6500000004</v>
      </c>
      <c r="E144">
        <v>0</v>
      </c>
      <c r="F144">
        <v>34833.480000000003</v>
      </c>
      <c r="G144">
        <v>-5493746.1300000008</v>
      </c>
    </row>
    <row r="145" spans="1:7" x14ac:dyDescent="0.25">
      <c r="A145" t="s">
        <v>1865</v>
      </c>
      <c r="B145" t="s">
        <v>2069</v>
      </c>
      <c r="C145" t="s">
        <v>2070</v>
      </c>
      <c r="D145">
        <v>100120</v>
      </c>
      <c r="E145">
        <v>0</v>
      </c>
      <c r="F145">
        <v>0</v>
      </c>
      <c r="G145">
        <v>100120</v>
      </c>
    </row>
    <row r="146" spans="1:7" x14ac:dyDescent="0.25">
      <c r="A146" t="s">
        <v>1865</v>
      </c>
      <c r="B146" t="s">
        <v>2071</v>
      </c>
      <c r="C146" t="s">
        <v>2072</v>
      </c>
      <c r="D146">
        <v>100120</v>
      </c>
      <c r="E146">
        <v>0</v>
      </c>
      <c r="F146">
        <v>0</v>
      </c>
      <c r="G146">
        <v>100120</v>
      </c>
    </row>
    <row r="147" spans="1:7" x14ac:dyDescent="0.25">
      <c r="A147" t="s">
        <v>1865</v>
      </c>
      <c r="B147" t="s">
        <v>2073</v>
      </c>
      <c r="C147" t="s">
        <v>2074</v>
      </c>
      <c r="D147">
        <v>100120</v>
      </c>
      <c r="E147">
        <v>0</v>
      </c>
      <c r="F147">
        <v>0</v>
      </c>
      <c r="G147">
        <v>100120</v>
      </c>
    </row>
    <row r="148" spans="1:7" x14ac:dyDescent="0.25">
      <c r="A148" t="s">
        <v>1865</v>
      </c>
      <c r="B148" t="s">
        <v>2075</v>
      </c>
      <c r="C148" t="s">
        <v>2076</v>
      </c>
      <c r="D148">
        <v>7273105.5199999996</v>
      </c>
      <c r="E148">
        <v>0</v>
      </c>
      <c r="F148">
        <v>843685.45</v>
      </c>
      <c r="G148">
        <v>6429420.0699999994</v>
      </c>
    </row>
    <row r="149" spans="1:7" x14ac:dyDescent="0.25">
      <c r="A149" t="s">
        <v>1865</v>
      </c>
      <c r="B149" t="s">
        <v>2077</v>
      </c>
      <c r="C149" t="s">
        <v>2019</v>
      </c>
      <c r="D149">
        <v>12263849.369999999</v>
      </c>
      <c r="E149">
        <v>0</v>
      </c>
      <c r="F149">
        <v>0</v>
      </c>
      <c r="G149">
        <v>12263849.369999999</v>
      </c>
    </row>
    <row r="150" spans="1:7" x14ac:dyDescent="0.25">
      <c r="A150" t="s">
        <v>1865</v>
      </c>
      <c r="B150" t="s">
        <v>2078</v>
      </c>
      <c r="C150" t="s">
        <v>2079</v>
      </c>
      <c r="D150">
        <v>12263849.369999999</v>
      </c>
      <c r="E150">
        <v>0</v>
      </c>
      <c r="F150">
        <v>0</v>
      </c>
      <c r="G150">
        <v>12263849.369999999</v>
      </c>
    </row>
    <row r="151" spans="1:7" x14ac:dyDescent="0.25">
      <c r="A151" t="s">
        <v>1865</v>
      </c>
      <c r="B151" t="s">
        <v>2080</v>
      </c>
      <c r="C151" t="s">
        <v>2034</v>
      </c>
      <c r="D151">
        <v>-4990743.8499999996</v>
      </c>
      <c r="E151">
        <v>0</v>
      </c>
      <c r="F151">
        <v>843685.45</v>
      </c>
      <c r="G151">
        <v>-5834429.2999999998</v>
      </c>
    </row>
    <row r="152" spans="1:7" x14ac:dyDescent="0.25">
      <c r="A152" t="s">
        <v>1865</v>
      </c>
      <c r="B152" t="s">
        <v>2081</v>
      </c>
      <c r="C152" t="s">
        <v>2082</v>
      </c>
      <c r="D152">
        <v>-4990743.8499999996</v>
      </c>
      <c r="E152">
        <v>0</v>
      </c>
      <c r="F152">
        <v>843685.45</v>
      </c>
      <c r="G152">
        <v>-5834429.2999999998</v>
      </c>
    </row>
    <row r="153" spans="1:7" x14ac:dyDescent="0.25">
      <c r="A153" t="s">
        <v>1865</v>
      </c>
      <c r="B153" t="s">
        <v>2083</v>
      </c>
      <c r="C153" t="s">
        <v>2084</v>
      </c>
      <c r="D153">
        <v>3209450.98</v>
      </c>
      <c r="E153">
        <v>0</v>
      </c>
      <c r="F153">
        <v>485991.38</v>
      </c>
      <c r="G153">
        <v>2723459.6</v>
      </c>
    </row>
    <row r="154" spans="1:7" x14ac:dyDescent="0.25">
      <c r="A154" t="s">
        <v>1865</v>
      </c>
      <c r="B154" t="s">
        <v>2085</v>
      </c>
      <c r="C154" t="s">
        <v>2019</v>
      </c>
      <c r="D154">
        <v>5433620</v>
      </c>
      <c r="E154">
        <v>0</v>
      </c>
      <c r="F154">
        <v>0</v>
      </c>
      <c r="G154">
        <v>5433620</v>
      </c>
    </row>
    <row r="155" spans="1:7" x14ac:dyDescent="0.25">
      <c r="A155" t="s">
        <v>1865</v>
      </c>
      <c r="B155" t="s">
        <v>2086</v>
      </c>
      <c r="C155" t="s">
        <v>2087</v>
      </c>
      <c r="D155">
        <v>5433620</v>
      </c>
      <c r="E155">
        <v>0</v>
      </c>
      <c r="F155">
        <v>0</v>
      </c>
      <c r="G155">
        <v>5433620</v>
      </c>
    </row>
    <row r="156" spans="1:7" x14ac:dyDescent="0.25">
      <c r="A156" t="s">
        <v>1865</v>
      </c>
      <c r="B156" t="s">
        <v>2088</v>
      </c>
      <c r="C156" t="s">
        <v>2034</v>
      </c>
      <c r="D156">
        <v>-2224169.02</v>
      </c>
      <c r="E156">
        <v>0</v>
      </c>
      <c r="F156">
        <v>485991.38</v>
      </c>
      <c r="G156">
        <v>-2710160.4</v>
      </c>
    </row>
    <row r="157" spans="1:7" x14ac:dyDescent="0.25">
      <c r="A157" t="s">
        <v>1865</v>
      </c>
      <c r="B157" t="s">
        <v>2089</v>
      </c>
      <c r="C157" t="s">
        <v>2090</v>
      </c>
      <c r="D157">
        <v>-2224169.02</v>
      </c>
      <c r="E157">
        <v>0</v>
      </c>
      <c r="F157">
        <v>485991.38</v>
      </c>
      <c r="G157">
        <v>-2710160.4</v>
      </c>
    </row>
    <row r="158" spans="1:7" x14ac:dyDescent="0.25">
      <c r="A158" t="s">
        <v>1865</v>
      </c>
      <c r="B158" t="s">
        <v>1601</v>
      </c>
      <c r="C158" t="s">
        <v>2091</v>
      </c>
      <c r="D158">
        <v>40471285.150000006</v>
      </c>
      <c r="E158">
        <v>416739049.23000002</v>
      </c>
      <c r="F158">
        <v>420814720.41000003</v>
      </c>
      <c r="G158">
        <v>36395613.969999976</v>
      </c>
    </row>
    <row r="159" spans="1:7" x14ac:dyDescent="0.25">
      <c r="A159" t="s">
        <v>1865</v>
      </c>
      <c r="B159" t="s">
        <v>2092</v>
      </c>
      <c r="C159" t="s">
        <v>2093</v>
      </c>
      <c r="D159">
        <v>10510687.469999999</v>
      </c>
      <c r="E159">
        <v>415789774.12</v>
      </c>
      <c r="F159">
        <v>417855987.62</v>
      </c>
      <c r="G159">
        <v>8444473.9700000007</v>
      </c>
    </row>
    <row r="160" spans="1:7" x14ac:dyDescent="0.25">
      <c r="A160" t="s">
        <v>1865</v>
      </c>
      <c r="B160" t="s">
        <v>2094</v>
      </c>
      <c r="C160" t="s">
        <v>2019</v>
      </c>
      <c r="D160">
        <v>21994266.920000002</v>
      </c>
      <c r="E160">
        <v>0</v>
      </c>
      <c r="F160">
        <v>0</v>
      </c>
      <c r="G160">
        <v>21994266.920000002</v>
      </c>
    </row>
    <row r="161" spans="1:7" x14ac:dyDescent="0.25">
      <c r="A161" t="s">
        <v>1865</v>
      </c>
      <c r="B161" t="s">
        <v>2095</v>
      </c>
      <c r="C161" t="s">
        <v>2096</v>
      </c>
      <c r="D161">
        <v>21994266.920000002</v>
      </c>
      <c r="E161">
        <v>0</v>
      </c>
      <c r="F161">
        <v>0</v>
      </c>
      <c r="G161">
        <v>21994266.920000002</v>
      </c>
    </row>
    <row r="162" spans="1:7" x14ac:dyDescent="0.25">
      <c r="A162" t="s">
        <v>1865</v>
      </c>
      <c r="B162" t="s">
        <v>2097</v>
      </c>
      <c r="C162" t="s">
        <v>2023</v>
      </c>
      <c r="D162">
        <v>503131.4</v>
      </c>
      <c r="E162">
        <v>306180520.69</v>
      </c>
      <c r="F162">
        <v>306180520.69</v>
      </c>
      <c r="G162">
        <v>503131.4</v>
      </c>
    </row>
    <row r="163" spans="1:7" x14ac:dyDescent="0.25">
      <c r="A163" t="s">
        <v>1865</v>
      </c>
      <c r="B163" t="s">
        <v>2098</v>
      </c>
      <c r="C163" t="s">
        <v>2023</v>
      </c>
      <c r="D163">
        <v>503131.4</v>
      </c>
      <c r="E163">
        <v>306180520.69</v>
      </c>
      <c r="F163">
        <v>306180520.69</v>
      </c>
      <c r="G163">
        <v>503131.4</v>
      </c>
    </row>
    <row r="164" spans="1:7" x14ac:dyDescent="0.25">
      <c r="A164" t="s">
        <v>1865</v>
      </c>
      <c r="B164" t="s">
        <v>2099</v>
      </c>
      <c r="C164" t="s">
        <v>2100</v>
      </c>
      <c r="D164">
        <v>-4328318.2300000004</v>
      </c>
      <c r="E164">
        <v>109609253.43000001</v>
      </c>
      <c r="F164">
        <v>109609253.43000001</v>
      </c>
      <c r="G164">
        <v>-4328318.2300000042</v>
      </c>
    </row>
    <row r="165" spans="1:7" x14ac:dyDescent="0.25">
      <c r="A165" t="s">
        <v>1865</v>
      </c>
      <c r="B165" t="s">
        <v>2101</v>
      </c>
      <c r="C165" t="s">
        <v>2102</v>
      </c>
      <c r="D165">
        <v>-4328318.2300000004</v>
      </c>
      <c r="E165">
        <v>109609253.43000001</v>
      </c>
      <c r="F165">
        <v>109609253.43000001</v>
      </c>
      <c r="G165">
        <v>-4328318.2300000042</v>
      </c>
    </row>
    <row r="166" spans="1:7" x14ac:dyDescent="0.25">
      <c r="A166" t="s">
        <v>1865</v>
      </c>
      <c r="B166" t="s">
        <v>2103</v>
      </c>
      <c r="C166" t="s">
        <v>2034</v>
      </c>
      <c r="D166">
        <v>-7658392.6200000001</v>
      </c>
      <c r="E166">
        <v>0</v>
      </c>
      <c r="F166">
        <v>2066213.5</v>
      </c>
      <c r="G166">
        <v>-9724606.120000001</v>
      </c>
    </row>
    <row r="167" spans="1:7" x14ac:dyDescent="0.25">
      <c r="A167" t="s">
        <v>1865</v>
      </c>
      <c r="B167" t="s">
        <v>2104</v>
      </c>
      <c r="C167" t="s">
        <v>2105</v>
      </c>
      <c r="D167">
        <v>-7658392.6200000001</v>
      </c>
      <c r="E167">
        <v>0</v>
      </c>
      <c r="F167">
        <v>2066213.5</v>
      </c>
      <c r="G167">
        <v>-9724606.120000001</v>
      </c>
    </row>
    <row r="168" spans="1:7" x14ac:dyDescent="0.25">
      <c r="A168" t="s">
        <v>1865</v>
      </c>
      <c r="B168" t="s">
        <v>2106</v>
      </c>
      <c r="C168" t="s">
        <v>2107</v>
      </c>
      <c r="D168">
        <v>17122822.700000003</v>
      </c>
      <c r="E168">
        <v>0</v>
      </c>
      <c r="F168">
        <v>1877464.48</v>
      </c>
      <c r="G168">
        <v>15245358.220000003</v>
      </c>
    </row>
    <row r="169" spans="1:7" x14ac:dyDescent="0.25">
      <c r="A169" t="s">
        <v>1865</v>
      </c>
      <c r="B169" t="s">
        <v>2108</v>
      </c>
      <c r="C169" t="s">
        <v>2019</v>
      </c>
      <c r="D169">
        <v>35075903.740000002</v>
      </c>
      <c r="E169">
        <v>0</v>
      </c>
      <c r="F169">
        <v>0</v>
      </c>
      <c r="G169">
        <v>35075903.740000002</v>
      </c>
    </row>
    <row r="170" spans="1:7" x14ac:dyDescent="0.25">
      <c r="A170" t="s">
        <v>1865</v>
      </c>
      <c r="B170" t="s">
        <v>2109</v>
      </c>
      <c r="C170" t="s">
        <v>2110</v>
      </c>
      <c r="D170">
        <v>35075903.740000002</v>
      </c>
      <c r="E170">
        <v>0</v>
      </c>
      <c r="F170">
        <v>0</v>
      </c>
      <c r="G170">
        <v>35075903.740000002</v>
      </c>
    </row>
    <row r="171" spans="1:7" x14ac:dyDescent="0.25">
      <c r="A171" t="s">
        <v>1865</v>
      </c>
      <c r="B171" t="s">
        <v>2111</v>
      </c>
      <c r="C171" t="s">
        <v>2112</v>
      </c>
      <c r="D171">
        <v>-17953081.039999999</v>
      </c>
      <c r="E171">
        <v>0</v>
      </c>
      <c r="F171">
        <v>1877464.48</v>
      </c>
      <c r="G171">
        <v>-19830545.52</v>
      </c>
    </row>
    <row r="172" spans="1:7" x14ac:dyDescent="0.25">
      <c r="A172" t="s">
        <v>1865</v>
      </c>
      <c r="B172" t="s">
        <v>2113</v>
      </c>
      <c r="C172" t="s">
        <v>2114</v>
      </c>
      <c r="D172">
        <v>-17953081.039999999</v>
      </c>
      <c r="E172">
        <v>0</v>
      </c>
      <c r="F172">
        <v>1877464.48</v>
      </c>
      <c r="G172">
        <v>-19830545.52</v>
      </c>
    </row>
    <row r="173" spans="1:7" x14ac:dyDescent="0.25">
      <c r="A173" t="s">
        <v>1865</v>
      </c>
      <c r="B173" t="s">
        <v>2115</v>
      </c>
      <c r="C173" t="s">
        <v>2116</v>
      </c>
      <c r="D173">
        <v>1833700.1400000001</v>
      </c>
      <c r="E173">
        <v>949275.1100000001</v>
      </c>
      <c r="F173">
        <v>692475.45</v>
      </c>
      <c r="G173">
        <v>2090499.7999999998</v>
      </c>
    </row>
    <row r="174" spans="1:7" x14ac:dyDescent="0.25">
      <c r="A174" t="s">
        <v>1865</v>
      </c>
      <c r="B174" t="s">
        <v>2117</v>
      </c>
      <c r="C174" t="s">
        <v>2019</v>
      </c>
      <c r="D174">
        <v>2591565</v>
      </c>
      <c r="E174">
        <v>900640.55</v>
      </c>
      <c r="F174">
        <v>180128.12</v>
      </c>
      <c r="G174">
        <v>3312077.4299999997</v>
      </c>
    </row>
    <row r="175" spans="1:7" x14ac:dyDescent="0.25">
      <c r="A175" t="s">
        <v>1865</v>
      </c>
      <c r="B175" t="s">
        <v>2118</v>
      </c>
      <c r="C175" t="s">
        <v>2119</v>
      </c>
      <c r="D175">
        <v>2591565</v>
      </c>
      <c r="E175">
        <v>900640.55</v>
      </c>
      <c r="F175">
        <v>180128.12</v>
      </c>
      <c r="G175">
        <v>3312077.4299999997</v>
      </c>
    </row>
    <row r="176" spans="1:7" x14ac:dyDescent="0.25">
      <c r="A176" t="s">
        <v>1865</v>
      </c>
      <c r="B176" t="s">
        <v>2120</v>
      </c>
      <c r="C176" t="s">
        <v>2034</v>
      </c>
      <c r="D176">
        <v>-757864.86</v>
      </c>
      <c r="E176">
        <v>48634.559999999998</v>
      </c>
      <c r="F176">
        <v>512347.32999999996</v>
      </c>
      <c r="G176">
        <v>-1221577.6299999999</v>
      </c>
    </row>
    <row r="177" spans="1:7" x14ac:dyDescent="0.25">
      <c r="A177" t="s">
        <v>1865</v>
      </c>
      <c r="B177" t="s">
        <v>2121</v>
      </c>
      <c r="C177" t="s">
        <v>2122</v>
      </c>
      <c r="D177">
        <v>-757864.86</v>
      </c>
      <c r="E177">
        <v>48634.559999999998</v>
      </c>
      <c r="F177">
        <v>512347.32999999996</v>
      </c>
      <c r="G177">
        <v>-1221577.6299999999</v>
      </c>
    </row>
    <row r="178" spans="1:7" x14ac:dyDescent="0.25">
      <c r="A178" t="s">
        <v>1865</v>
      </c>
      <c r="B178" t="s">
        <v>2123</v>
      </c>
      <c r="C178" t="s">
        <v>2124</v>
      </c>
      <c r="D178">
        <v>12820.5</v>
      </c>
      <c r="E178">
        <v>0</v>
      </c>
      <c r="F178">
        <v>1782</v>
      </c>
      <c r="G178">
        <v>11038.5</v>
      </c>
    </row>
    <row r="179" spans="1:7" x14ac:dyDescent="0.25">
      <c r="A179" t="s">
        <v>1865</v>
      </c>
      <c r="B179" t="s">
        <v>2125</v>
      </c>
      <c r="C179" t="s">
        <v>2019</v>
      </c>
      <c r="D179">
        <v>62795</v>
      </c>
      <c r="E179">
        <v>0</v>
      </c>
      <c r="F179">
        <v>0</v>
      </c>
      <c r="G179">
        <v>62795</v>
      </c>
    </row>
    <row r="180" spans="1:7" x14ac:dyDescent="0.25">
      <c r="A180" t="s">
        <v>1865</v>
      </c>
      <c r="B180" t="s">
        <v>2126</v>
      </c>
      <c r="C180" t="s">
        <v>2127</v>
      </c>
      <c r="D180">
        <v>62795</v>
      </c>
      <c r="E180">
        <v>0</v>
      </c>
      <c r="F180">
        <v>0</v>
      </c>
      <c r="G180">
        <v>62795</v>
      </c>
    </row>
    <row r="181" spans="1:7" x14ac:dyDescent="0.25">
      <c r="A181" t="s">
        <v>1865</v>
      </c>
      <c r="B181" t="s">
        <v>2128</v>
      </c>
      <c r="C181" t="s">
        <v>2034</v>
      </c>
      <c r="D181">
        <v>-49974.5</v>
      </c>
      <c r="E181">
        <v>0</v>
      </c>
      <c r="F181">
        <v>1782</v>
      </c>
      <c r="G181">
        <v>-51756.5</v>
      </c>
    </row>
    <row r="182" spans="1:7" x14ac:dyDescent="0.25">
      <c r="A182" t="s">
        <v>1865</v>
      </c>
      <c r="B182" t="s">
        <v>2129</v>
      </c>
      <c r="C182" t="s">
        <v>2130</v>
      </c>
      <c r="D182">
        <v>-49974.5</v>
      </c>
      <c r="E182">
        <v>0</v>
      </c>
      <c r="F182">
        <v>1782</v>
      </c>
      <c r="G182">
        <v>-51756.5</v>
      </c>
    </row>
    <row r="183" spans="1:7" x14ac:dyDescent="0.25">
      <c r="A183" t="s">
        <v>1865</v>
      </c>
      <c r="B183" t="s">
        <v>2131</v>
      </c>
      <c r="C183" t="s">
        <v>2132</v>
      </c>
      <c r="D183">
        <v>10991254.34</v>
      </c>
      <c r="E183">
        <v>0</v>
      </c>
      <c r="F183">
        <v>387010.86</v>
      </c>
      <c r="G183">
        <v>10604243.48</v>
      </c>
    </row>
    <row r="184" spans="1:7" x14ac:dyDescent="0.25">
      <c r="A184" t="s">
        <v>1865</v>
      </c>
      <c r="B184" t="s">
        <v>2133</v>
      </c>
      <c r="C184" t="s">
        <v>2019</v>
      </c>
      <c r="D184">
        <v>12628252.710000001</v>
      </c>
      <c r="E184">
        <v>0</v>
      </c>
      <c r="F184">
        <v>0</v>
      </c>
      <c r="G184">
        <v>12628252.710000001</v>
      </c>
    </row>
    <row r="185" spans="1:7" x14ac:dyDescent="0.25">
      <c r="A185" t="s">
        <v>1865</v>
      </c>
      <c r="B185" t="s">
        <v>2134</v>
      </c>
      <c r="C185" t="s">
        <v>2135</v>
      </c>
      <c r="D185">
        <v>12628252.710000001</v>
      </c>
      <c r="E185">
        <v>0</v>
      </c>
      <c r="F185">
        <v>0</v>
      </c>
      <c r="G185">
        <v>12628252.710000001</v>
      </c>
    </row>
    <row r="186" spans="1:7" x14ac:dyDescent="0.25">
      <c r="A186" t="s">
        <v>1865</v>
      </c>
      <c r="B186" t="s">
        <v>2136</v>
      </c>
      <c r="C186" t="s">
        <v>2034</v>
      </c>
      <c r="D186">
        <v>-1636998.37</v>
      </c>
      <c r="E186">
        <v>0</v>
      </c>
      <c r="F186">
        <v>387010.86</v>
      </c>
      <c r="G186">
        <v>-2024009.23</v>
      </c>
    </row>
    <row r="187" spans="1:7" x14ac:dyDescent="0.25">
      <c r="A187" t="s">
        <v>1865</v>
      </c>
      <c r="B187" t="s">
        <v>2137</v>
      </c>
      <c r="C187" t="s">
        <v>2138</v>
      </c>
      <c r="D187">
        <v>-1636998.37</v>
      </c>
      <c r="E187">
        <v>0</v>
      </c>
      <c r="F187">
        <v>387010.86</v>
      </c>
      <c r="G187">
        <v>-2024009.23</v>
      </c>
    </row>
    <row r="188" spans="1:7" x14ac:dyDescent="0.25">
      <c r="A188" t="s">
        <v>1865</v>
      </c>
      <c r="B188" t="s">
        <v>1602</v>
      </c>
      <c r="C188" t="s">
        <v>2139</v>
      </c>
      <c r="D188">
        <v>34771366.140000008</v>
      </c>
      <c r="E188">
        <v>24780987.540000003</v>
      </c>
      <c r="F188">
        <v>13629241.890000002</v>
      </c>
      <c r="G188">
        <v>45923111.790000007</v>
      </c>
    </row>
    <row r="189" spans="1:7" x14ac:dyDescent="0.25">
      <c r="A189" t="s">
        <v>1865</v>
      </c>
      <c r="B189" t="s">
        <v>2140</v>
      </c>
      <c r="C189" t="s">
        <v>2141</v>
      </c>
      <c r="D189">
        <v>27536243.120000005</v>
      </c>
      <c r="E189">
        <v>21264475.470000003</v>
      </c>
      <c r="F189">
        <v>9376327.0800000001</v>
      </c>
      <c r="G189">
        <v>39424391.510000005</v>
      </c>
    </row>
    <row r="190" spans="1:7" x14ac:dyDescent="0.25">
      <c r="A190" t="s">
        <v>1865</v>
      </c>
      <c r="B190" t="s">
        <v>2142</v>
      </c>
      <c r="C190" t="s">
        <v>2019</v>
      </c>
      <c r="D190">
        <v>79262867.920000002</v>
      </c>
      <c r="E190">
        <v>20955623.710000001</v>
      </c>
      <c r="F190">
        <v>735361.38</v>
      </c>
      <c r="G190">
        <v>99483130.25</v>
      </c>
    </row>
    <row r="191" spans="1:7" x14ac:dyDescent="0.25">
      <c r="A191" t="s">
        <v>1865</v>
      </c>
      <c r="B191" t="s">
        <v>2143</v>
      </c>
      <c r="C191" t="s">
        <v>2144</v>
      </c>
      <c r="D191">
        <v>79262867.920000002</v>
      </c>
      <c r="E191">
        <v>20955623.710000001</v>
      </c>
      <c r="F191">
        <v>735361.38</v>
      </c>
      <c r="G191">
        <v>99483130.25</v>
      </c>
    </row>
    <row r="192" spans="1:7" x14ac:dyDescent="0.25">
      <c r="A192" t="s">
        <v>1865</v>
      </c>
      <c r="B192" t="s">
        <v>2145</v>
      </c>
      <c r="C192" t="s">
        <v>2034</v>
      </c>
      <c r="D192">
        <v>-51726624.799999997</v>
      </c>
      <c r="E192">
        <v>308851.76</v>
      </c>
      <c r="F192">
        <v>8640965.6999999993</v>
      </c>
      <c r="G192">
        <v>-60058738.739999995</v>
      </c>
    </row>
    <row r="193" spans="1:7" x14ac:dyDescent="0.25">
      <c r="A193" t="s">
        <v>1865</v>
      </c>
      <c r="B193" t="s">
        <v>2146</v>
      </c>
      <c r="C193" t="s">
        <v>2147</v>
      </c>
      <c r="D193">
        <v>-51726624.799999997</v>
      </c>
      <c r="E193">
        <v>308851.76</v>
      </c>
      <c r="F193">
        <v>8640965.6999999993</v>
      </c>
      <c r="G193">
        <v>-60058738.739999995</v>
      </c>
    </row>
    <row r="194" spans="1:7" x14ac:dyDescent="0.25">
      <c r="A194" t="s">
        <v>1865</v>
      </c>
      <c r="B194" t="s">
        <v>2148</v>
      </c>
      <c r="C194" t="s">
        <v>2149</v>
      </c>
      <c r="D194">
        <v>1181909.79</v>
      </c>
      <c r="E194">
        <v>0</v>
      </c>
      <c r="F194">
        <v>274934.88</v>
      </c>
      <c r="G194">
        <v>906974.90999999992</v>
      </c>
    </row>
    <row r="195" spans="1:7" x14ac:dyDescent="0.25">
      <c r="A195" t="s">
        <v>1865</v>
      </c>
      <c r="B195" t="s">
        <v>2150</v>
      </c>
      <c r="C195" t="s">
        <v>2019</v>
      </c>
      <c r="D195">
        <v>1596405.89</v>
      </c>
      <c r="E195">
        <v>0</v>
      </c>
      <c r="F195">
        <v>0</v>
      </c>
      <c r="G195">
        <v>1596405.89</v>
      </c>
    </row>
    <row r="196" spans="1:7" x14ac:dyDescent="0.25">
      <c r="A196" t="s">
        <v>1865</v>
      </c>
      <c r="B196" t="s">
        <v>2151</v>
      </c>
      <c r="C196" t="s">
        <v>2152</v>
      </c>
      <c r="D196">
        <v>1596405.89</v>
      </c>
      <c r="E196">
        <v>0</v>
      </c>
      <c r="F196">
        <v>0</v>
      </c>
      <c r="G196">
        <v>1596405.89</v>
      </c>
    </row>
    <row r="197" spans="1:7" x14ac:dyDescent="0.25">
      <c r="A197" t="s">
        <v>1865</v>
      </c>
      <c r="B197" t="s">
        <v>2153</v>
      </c>
      <c r="C197" t="s">
        <v>2034</v>
      </c>
      <c r="D197">
        <v>-414496.1</v>
      </c>
      <c r="E197">
        <v>0</v>
      </c>
      <c r="F197">
        <v>274934.88</v>
      </c>
      <c r="G197">
        <v>-689430.98</v>
      </c>
    </row>
    <row r="198" spans="1:7" x14ac:dyDescent="0.25">
      <c r="A198" t="s">
        <v>1865</v>
      </c>
      <c r="B198" t="s">
        <v>2154</v>
      </c>
      <c r="C198" t="s">
        <v>2155</v>
      </c>
      <c r="D198">
        <v>-414496.1</v>
      </c>
      <c r="E198">
        <v>0</v>
      </c>
      <c r="F198">
        <v>274934.88</v>
      </c>
      <c r="G198">
        <v>-689430.98</v>
      </c>
    </row>
    <row r="199" spans="1:7" x14ac:dyDescent="0.25">
      <c r="A199" t="s">
        <v>1865</v>
      </c>
      <c r="B199" t="s">
        <v>2156</v>
      </c>
      <c r="C199" t="s">
        <v>2157</v>
      </c>
      <c r="D199">
        <v>9800</v>
      </c>
      <c r="E199">
        <v>0</v>
      </c>
      <c r="F199">
        <v>0</v>
      </c>
      <c r="G199">
        <v>9800</v>
      </c>
    </row>
    <row r="200" spans="1:7" x14ac:dyDescent="0.25">
      <c r="A200" t="s">
        <v>1865</v>
      </c>
      <c r="B200" t="s">
        <v>2158</v>
      </c>
      <c r="C200" t="s">
        <v>2019</v>
      </c>
      <c r="D200">
        <v>98000</v>
      </c>
      <c r="E200">
        <v>0</v>
      </c>
      <c r="F200">
        <v>0</v>
      </c>
      <c r="G200">
        <v>98000</v>
      </c>
    </row>
    <row r="201" spans="1:7" x14ac:dyDescent="0.25">
      <c r="A201" t="s">
        <v>1865</v>
      </c>
      <c r="B201" t="s">
        <v>2159</v>
      </c>
      <c r="C201" t="s">
        <v>2160</v>
      </c>
      <c r="D201">
        <v>98000</v>
      </c>
      <c r="E201">
        <v>0</v>
      </c>
      <c r="F201">
        <v>0</v>
      </c>
      <c r="G201">
        <v>98000</v>
      </c>
    </row>
    <row r="202" spans="1:7" x14ac:dyDescent="0.25">
      <c r="A202" t="s">
        <v>1865</v>
      </c>
      <c r="B202" t="s">
        <v>2161</v>
      </c>
      <c r="C202" t="s">
        <v>2034</v>
      </c>
      <c r="D202">
        <v>-88200</v>
      </c>
      <c r="E202">
        <v>0</v>
      </c>
      <c r="F202">
        <v>0</v>
      </c>
      <c r="G202">
        <v>-88200</v>
      </c>
    </row>
    <row r="203" spans="1:7" x14ac:dyDescent="0.25">
      <c r="A203" t="s">
        <v>1865</v>
      </c>
      <c r="B203" t="s">
        <v>2162</v>
      </c>
      <c r="C203" t="s">
        <v>2163</v>
      </c>
      <c r="D203">
        <v>-88200</v>
      </c>
      <c r="E203">
        <v>0</v>
      </c>
      <c r="F203">
        <v>0</v>
      </c>
      <c r="G203">
        <v>-88200</v>
      </c>
    </row>
    <row r="204" spans="1:7" x14ac:dyDescent="0.25">
      <c r="A204" t="s">
        <v>1865</v>
      </c>
      <c r="B204" t="s">
        <v>2164</v>
      </c>
      <c r="C204" t="s">
        <v>2165</v>
      </c>
      <c r="D204">
        <v>106562.43999999994</v>
      </c>
      <c r="E204">
        <v>649911.51</v>
      </c>
      <c r="F204">
        <v>167171.56</v>
      </c>
      <c r="G204">
        <v>589302.3899999999</v>
      </c>
    </row>
    <row r="205" spans="1:7" x14ac:dyDescent="0.25">
      <c r="A205" t="s">
        <v>1865</v>
      </c>
      <c r="B205" t="s">
        <v>2166</v>
      </c>
      <c r="C205" t="s">
        <v>2019</v>
      </c>
      <c r="D205">
        <v>1065623.8799999999</v>
      </c>
      <c r="E205">
        <v>649911.51</v>
      </c>
      <c r="F205">
        <v>144424.78</v>
      </c>
      <c r="G205">
        <v>1571110.6099999999</v>
      </c>
    </row>
    <row r="206" spans="1:7" x14ac:dyDescent="0.25">
      <c r="A206" t="s">
        <v>1865</v>
      </c>
      <c r="B206" t="s">
        <v>2167</v>
      </c>
      <c r="C206" t="s">
        <v>2168</v>
      </c>
      <c r="D206">
        <v>1065623.8799999999</v>
      </c>
      <c r="E206">
        <v>649911.51</v>
      </c>
      <c r="F206">
        <v>144424.78</v>
      </c>
      <c r="G206">
        <v>1571110.6099999999</v>
      </c>
    </row>
    <row r="207" spans="1:7" x14ac:dyDescent="0.25">
      <c r="A207" t="s">
        <v>1865</v>
      </c>
      <c r="B207" t="s">
        <v>2169</v>
      </c>
      <c r="C207" t="s">
        <v>2034</v>
      </c>
      <c r="D207">
        <v>-959061.44</v>
      </c>
      <c r="E207">
        <v>0</v>
      </c>
      <c r="F207">
        <v>22746.78</v>
      </c>
      <c r="G207">
        <v>-981808.22</v>
      </c>
    </row>
    <row r="208" spans="1:7" x14ac:dyDescent="0.25">
      <c r="A208" t="s">
        <v>1865</v>
      </c>
      <c r="B208" t="s">
        <v>2170</v>
      </c>
      <c r="C208" t="s">
        <v>2171</v>
      </c>
      <c r="D208">
        <v>-959061.44</v>
      </c>
      <c r="E208">
        <v>0</v>
      </c>
      <c r="F208">
        <v>22746.78</v>
      </c>
      <c r="G208">
        <v>-981808.22</v>
      </c>
    </row>
    <row r="209" spans="1:7" x14ac:dyDescent="0.25">
      <c r="A209" t="s">
        <v>1865</v>
      </c>
      <c r="B209" t="s">
        <v>2172</v>
      </c>
      <c r="C209" t="s">
        <v>2173</v>
      </c>
      <c r="D209">
        <v>2966924.1500000004</v>
      </c>
      <c r="E209">
        <v>224283.19999999998</v>
      </c>
      <c r="F209">
        <v>1045837.39</v>
      </c>
      <c r="G209">
        <v>2145369.9600000009</v>
      </c>
    </row>
    <row r="210" spans="1:7" x14ac:dyDescent="0.25">
      <c r="A210" t="s">
        <v>1865</v>
      </c>
      <c r="B210" t="s">
        <v>2174</v>
      </c>
      <c r="C210" t="s">
        <v>2019</v>
      </c>
      <c r="D210">
        <v>7602346.75</v>
      </c>
      <c r="E210">
        <v>224283.19999999998</v>
      </c>
      <c r="F210">
        <v>56070.8</v>
      </c>
      <c r="G210">
        <v>7770559.1500000004</v>
      </c>
    </row>
    <row r="211" spans="1:7" x14ac:dyDescent="0.25">
      <c r="A211" t="s">
        <v>1865</v>
      </c>
      <c r="B211" t="s">
        <v>2175</v>
      </c>
      <c r="C211" t="s">
        <v>2176</v>
      </c>
      <c r="D211">
        <v>7602346.75</v>
      </c>
      <c r="E211">
        <v>224283.19999999998</v>
      </c>
      <c r="F211">
        <v>56070.8</v>
      </c>
      <c r="G211">
        <v>7770559.1500000004</v>
      </c>
    </row>
    <row r="212" spans="1:7" x14ac:dyDescent="0.25">
      <c r="A212" t="s">
        <v>1865</v>
      </c>
      <c r="B212" t="s">
        <v>2177</v>
      </c>
      <c r="C212" t="s">
        <v>2034</v>
      </c>
      <c r="D212">
        <v>-4635422.5999999996</v>
      </c>
      <c r="E212">
        <v>0</v>
      </c>
      <c r="F212">
        <v>989766.59</v>
      </c>
      <c r="G212">
        <v>-5625189.1899999995</v>
      </c>
    </row>
    <row r="213" spans="1:7" x14ac:dyDescent="0.25">
      <c r="A213" t="s">
        <v>1865</v>
      </c>
      <c r="B213" t="s">
        <v>2178</v>
      </c>
      <c r="C213" t="s">
        <v>2179</v>
      </c>
      <c r="D213">
        <v>-4635422.5999999996</v>
      </c>
      <c r="E213">
        <v>0</v>
      </c>
      <c r="F213">
        <v>989766.59</v>
      </c>
      <c r="G213">
        <v>-5625189.1899999995</v>
      </c>
    </row>
    <row r="214" spans="1:7" x14ac:dyDescent="0.25">
      <c r="A214" t="s">
        <v>1865</v>
      </c>
      <c r="B214" t="s">
        <v>2180</v>
      </c>
      <c r="C214" t="s">
        <v>2181</v>
      </c>
      <c r="D214">
        <v>2969926.6400000006</v>
      </c>
      <c r="E214">
        <v>2642317.36</v>
      </c>
      <c r="F214">
        <v>2764970.98</v>
      </c>
      <c r="G214">
        <v>2847273.0200000014</v>
      </c>
    </row>
    <row r="215" spans="1:7" x14ac:dyDescent="0.25">
      <c r="A215" t="s">
        <v>1865</v>
      </c>
      <c r="B215" t="s">
        <v>2182</v>
      </c>
      <c r="C215" t="s">
        <v>2019</v>
      </c>
      <c r="D215">
        <v>15282316.810000001</v>
      </c>
      <c r="E215">
        <v>2642317.36</v>
      </c>
      <c r="F215">
        <v>2486000</v>
      </c>
      <c r="G215">
        <v>15438634.170000002</v>
      </c>
    </row>
    <row r="216" spans="1:7" x14ac:dyDescent="0.25">
      <c r="A216" t="s">
        <v>1865</v>
      </c>
      <c r="B216" t="s">
        <v>2183</v>
      </c>
      <c r="C216" t="s">
        <v>2184</v>
      </c>
      <c r="D216">
        <v>15282316.810000001</v>
      </c>
      <c r="E216">
        <v>2642317.36</v>
      </c>
      <c r="F216">
        <v>2486000</v>
      </c>
      <c r="G216">
        <v>15438634.170000002</v>
      </c>
    </row>
    <row r="217" spans="1:7" x14ac:dyDescent="0.25">
      <c r="A217" t="s">
        <v>1865</v>
      </c>
      <c r="B217" t="s">
        <v>2185</v>
      </c>
      <c r="C217" t="s">
        <v>2034</v>
      </c>
      <c r="D217">
        <v>-12312390.17</v>
      </c>
      <c r="E217">
        <v>0</v>
      </c>
      <c r="F217">
        <v>278970.98</v>
      </c>
      <c r="G217">
        <v>-12591361.15</v>
      </c>
    </row>
    <row r="218" spans="1:7" x14ac:dyDescent="0.25">
      <c r="A218" t="s">
        <v>1865</v>
      </c>
      <c r="B218" t="s">
        <v>2186</v>
      </c>
      <c r="C218" t="s">
        <v>2090</v>
      </c>
      <c r="D218">
        <v>-12312390.17</v>
      </c>
      <c r="E218">
        <v>0</v>
      </c>
      <c r="F218">
        <v>278970.98</v>
      </c>
      <c r="G218">
        <v>-12591361.15</v>
      </c>
    </row>
    <row r="219" spans="1:7" x14ac:dyDescent="0.25">
      <c r="A219" t="s">
        <v>1865</v>
      </c>
      <c r="B219" t="s">
        <v>1603</v>
      </c>
      <c r="C219" t="s">
        <v>2187</v>
      </c>
      <c r="D219">
        <v>118895.70000000001</v>
      </c>
      <c r="E219">
        <v>0</v>
      </c>
      <c r="F219">
        <v>24624.7</v>
      </c>
      <c r="G219">
        <v>94271</v>
      </c>
    </row>
    <row r="220" spans="1:7" x14ac:dyDescent="0.25">
      <c r="A220" t="s">
        <v>1865</v>
      </c>
      <c r="B220" t="s">
        <v>2188</v>
      </c>
      <c r="C220" t="s">
        <v>2189</v>
      </c>
      <c r="D220">
        <v>37968.200000000012</v>
      </c>
      <c r="E220">
        <v>0</v>
      </c>
      <c r="F220">
        <v>15759.7</v>
      </c>
      <c r="G220">
        <v>22208.5</v>
      </c>
    </row>
    <row r="221" spans="1:7" x14ac:dyDescent="0.25">
      <c r="A221" t="s">
        <v>1865</v>
      </c>
      <c r="B221" t="s">
        <v>2190</v>
      </c>
      <c r="C221" t="s">
        <v>2019</v>
      </c>
      <c r="D221">
        <v>222085</v>
      </c>
      <c r="E221">
        <v>0</v>
      </c>
      <c r="F221">
        <v>0</v>
      </c>
      <c r="G221">
        <v>222085</v>
      </c>
    </row>
    <row r="222" spans="1:7" x14ac:dyDescent="0.25">
      <c r="A222" t="s">
        <v>1865</v>
      </c>
      <c r="B222" t="s">
        <v>2191</v>
      </c>
      <c r="C222" t="s">
        <v>2192</v>
      </c>
      <c r="D222">
        <v>222085</v>
      </c>
      <c r="E222">
        <v>0</v>
      </c>
      <c r="F222">
        <v>0</v>
      </c>
      <c r="G222">
        <v>222085</v>
      </c>
    </row>
    <row r="223" spans="1:7" x14ac:dyDescent="0.25">
      <c r="A223" t="s">
        <v>1865</v>
      </c>
      <c r="B223" t="s">
        <v>2193</v>
      </c>
      <c r="C223" t="s">
        <v>2034</v>
      </c>
      <c r="D223">
        <v>-184116.8</v>
      </c>
      <c r="E223">
        <v>0</v>
      </c>
      <c r="F223">
        <v>15759.7</v>
      </c>
      <c r="G223">
        <v>-199876.5</v>
      </c>
    </row>
    <row r="224" spans="1:7" x14ac:dyDescent="0.25">
      <c r="A224" t="s">
        <v>1865</v>
      </c>
      <c r="B224" t="s">
        <v>2194</v>
      </c>
      <c r="C224" t="s">
        <v>2195</v>
      </c>
      <c r="D224">
        <v>-184116.8</v>
      </c>
      <c r="E224">
        <v>0</v>
      </c>
      <c r="F224">
        <v>15759.7</v>
      </c>
      <c r="G224">
        <v>-199876.5</v>
      </c>
    </row>
    <row r="225" spans="1:7" x14ac:dyDescent="0.25">
      <c r="A225" t="s">
        <v>1865</v>
      </c>
      <c r="B225" t="s">
        <v>2196</v>
      </c>
      <c r="C225" t="s">
        <v>2197</v>
      </c>
      <c r="D225">
        <v>80927.5</v>
      </c>
      <c r="E225">
        <v>0</v>
      </c>
      <c r="F225">
        <v>8865</v>
      </c>
      <c r="G225">
        <v>72062.5</v>
      </c>
    </row>
    <row r="226" spans="1:7" x14ac:dyDescent="0.25">
      <c r="A226" t="s">
        <v>1865</v>
      </c>
      <c r="B226" t="s">
        <v>2198</v>
      </c>
      <c r="C226" t="s">
        <v>2019</v>
      </c>
      <c r="D226">
        <v>203500</v>
      </c>
      <c r="E226">
        <v>0</v>
      </c>
      <c r="F226">
        <v>0</v>
      </c>
      <c r="G226">
        <v>203500</v>
      </c>
    </row>
    <row r="227" spans="1:7" x14ac:dyDescent="0.25">
      <c r="A227" t="s">
        <v>1865</v>
      </c>
      <c r="B227" t="s">
        <v>2199</v>
      </c>
      <c r="C227" t="s">
        <v>2200</v>
      </c>
      <c r="D227">
        <v>203500</v>
      </c>
      <c r="E227">
        <v>0</v>
      </c>
      <c r="F227">
        <v>0</v>
      </c>
      <c r="G227">
        <v>203500</v>
      </c>
    </row>
    <row r="228" spans="1:7" x14ac:dyDescent="0.25">
      <c r="A228" t="s">
        <v>1865</v>
      </c>
      <c r="B228" t="s">
        <v>2201</v>
      </c>
      <c r="C228" t="s">
        <v>2034</v>
      </c>
      <c r="D228">
        <v>-122572.5</v>
      </c>
      <c r="E228">
        <v>0</v>
      </c>
      <c r="F228">
        <v>8865</v>
      </c>
      <c r="G228">
        <v>-131437.5</v>
      </c>
    </row>
    <row r="229" spans="1:7" x14ac:dyDescent="0.25">
      <c r="A229" t="s">
        <v>1865</v>
      </c>
      <c r="B229" t="s">
        <v>2202</v>
      </c>
      <c r="C229" t="s">
        <v>2203</v>
      </c>
      <c r="D229">
        <v>-122572.5</v>
      </c>
      <c r="E229">
        <v>0</v>
      </c>
      <c r="F229">
        <v>8865</v>
      </c>
      <c r="G229">
        <v>-131437.5</v>
      </c>
    </row>
    <row r="230" spans="1:7" x14ac:dyDescent="0.25">
      <c r="A230" t="s">
        <v>1865</v>
      </c>
      <c r="B230" t="s">
        <v>1604</v>
      </c>
      <c r="C230" t="s">
        <v>2204</v>
      </c>
      <c r="D230">
        <v>884235.37</v>
      </c>
      <c r="E230">
        <v>0</v>
      </c>
      <c r="F230">
        <v>227814.01</v>
      </c>
      <c r="G230">
        <v>656421.36</v>
      </c>
    </row>
    <row r="231" spans="1:7" x14ac:dyDescent="0.25">
      <c r="A231" t="s">
        <v>1865</v>
      </c>
      <c r="B231" t="s">
        <v>2205</v>
      </c>
      <c r="C231" t="s">
        <v>2206</v>
      </c>
      <c r="D231">
        <v>33278.5</v>
      </c>
      <c r="E231">
        <v>0</v>
      </c>
      <c r="F231">
        <v>3864.6</v>
      </c>
      <c r="G231">
        <v>29413.9</v>
      </c>
    </row>
    <row r="232" spans="1:7" x14ac:dyDescent="0.25">
      <c r="A232" t="s">
        <v>1865</v>
      </c>
      <c r="B232" t="s">
        <v>2207</v>
      </c>
      <c r="C232" t="s">
        <v>2019</v>
      </c>
      <c r="D232">
        <v>42940</v>
      </c>
      <c r="E232">
        <v>0</v>
      </c>
      <c r="F232">
        <v>0</v>
      </c>
      <c r="G232">
        <v>42940</v>
      </c>
    </row>
    <row r="233" spans="1:7" x14ac:dyDescent="0.25">
      <c r="A233" t="s">
        <v>1865</v>
      </c>
      <c r="B233" t="s">
        <v>2208</v>
      </c>
      <c r="C233" t="s">
        <v>2209</v>
      </c>
      <c r="D233">
        <v>42940</v>
      </c>
      <c r="E233">
        <v>0</v>
      </c>
      <c r="F233">
        <v>0</v>
      </c>
      <c r="G233">
        <v>42940</v>
      </c>
    </row>
    <row r="234" spans="1:7" x14ac:dyDescent="0.25">
      <c r="A234" t="s">
        <v>1865</v>
      </c>
      <c r="B234" t="s">
        <v>2210</v>
      </c>
      <c r="C234" t="s">
        <v>2034</v>
      </c>
      <c r="D234">
        <v>-9661.5</v>
      </c>
      <c r="E234">
        <v>0</v>
      </c>
      <c r="F234">
        <v>3864.6</v>
      </c>
      <c r="G234">
        <v>-13526.1</v>
      </c>
    </row>
    <row r="235" spans="1:7" x14ac:dyDescent="0.25">
      <c r="A235" t="s">
        <v>1865</v>
      </c>
      <c r="B235" t="s">
        <v>2211</v>
      </c>
      <c r="C235" t="s">
        <v>2212</v>
      </c>
      <c r="D235">
        <v>-9661.5</v>
      </c>
      <c r="E235">
        <v>0</v>
      </c>
      <c r="F235">
        <v>3864.6</v>
      </c>
      <c r="G235">
        <v>-13526.1</v>
      </c>
    </row>
    <row r="236" spans="1:7" x14ac:dyDescent="0.25">
      <c r="A236" t="s">
        <v>1865</v>
      </c>
      <c r="B236" t="s">
        <v>2213</v>
      </c>
      <c r="C236" t="s">
        <v>2214</v>
      </c>
      <c r="D236">
        <v>712014.29</v>
      </c>
      <c r="E236">
        <v>0</v>
      </c>
      <c r="F236">
        <v>207058.44</v>
      </c>
      <c r="G236">
        <v>504955.85</v>
      </c>
    </row>
    <row r="237" spans="1:7" x14ac:dyDescent="0.25">
      <c r="A237" t="s">
        <v>1865</v>
      </c>
      <c r="B237" t="s">
        <v>2215</v>
      </c>
      <c r="C237" t="s">
        <v>2072</v>
      </c>
      <c r="D237">
        <v>1196300</v>
      </c>
      <c r="E237">
        <v>0</v>
      </c>
      <c r="F237">
        <v>0</v>
      </c>
      <c r="G237">
        <v>1196300</v>
      </c>
    </row>
    <row r="238" spans="1:7" x14ac:dyDescent="0.25">
      <c r="A238" t="s">
        <v>1865</v>
      </c>
      <c r="B238" t="s">
        <v>2216</v>
      </c>
      <c r="C238" t="s">
        <v>2217</v>
      </c>
      <c r="D238">
        <v>1196300</v>
      </c>
      <c r="E238">
        <v>0</v>
      </c>
      <c r="F238">
        <v>0</v>
      </c>
      <c r="G238">
        <v>1196300</v>
      </c>
    </row>
    <row r="239" spans="1:7" x14ac:dyDescent="0.25">
      <c r="A239" t="s">
        <v>1865</v>
      </c>
      <c r="B239" t="s">
        <v>2218</v>
      </c>
      <c r="C239" t="s">
        <v>2048</v>
      </c>
      <c r="D239">
        <v>-484285.71</v>
      </c>
      <c r="E239">
        <v>0</v>
      </c>
      <c r="F239">
        <v>207058.44</v>
      </c>
      <c r="G239">
        <v>-691344.15</v>
      </c>
    </row>
    <row r="240" spans="1:7" x14ac:dyDescent="0.25">
      <c r="A240" t="s">
        <v>1865</v>
      </c>
      <c r="B240" t="s">
        <v>2219</v>
      </c>
      <c r="C240" t="s">
        <v>2220</v>
      </c>
      <c r="D240">
        <v>-484285.71</v>
      </c>
      <c r="E240">
        <v>0</v>
      </c>
      <c r="F240">
        <v>207058.44</v>
      </c>
      <c r="G240">
        <v>-691344.15</v>
      </c>
    </row>
    <row r="241" spans="1:7" x14ac:dyDescent="0.25">
      <c r="A241" t="s">
        <v>1865</v>
      </c>
      <c r="B241" t="s">
        <v>2221</v>
      </c>
      <c r="C241" t="s">
        <v>2222</v>
      </c>
      <c r="D241">
        <v>138942.57999999999</v>
      </c>
      <c r="E241">
        <v>0</v>
      </c>
      <c r="F241">
        <v>16890.97</v>
      </c>
      <c r="G241">
        <v>122051.60999999999</v>
      </c>
    </row>
    <row r="242" spans="1:7" x14ac:dyDescent="0.25">
      <c r="A242" t="s">
        <v>1865</v>
      </c>
      <c r="B242" t="s">
        <v>2223</v>
      </c>
      <c r="C242" t="s">
        <v>2019</v>
      </c>
      <c r="D242">
        <v>390038</v>
      </c>
      <c r="E242">
        <v>0</v>
      </c>
      <c r="F242">
        <v>0</v>
      </c>
      <c r="G242">
        <v>390038</v>
      </c>
    </row>
    <row r="243" spans="1:7" x14ac:dyDescent="0.25">
      <c r="A243" t="s">
        <v>1865</v>
      </c>
      <c r="B243" t="s">
        <v>2224</v>
      </c>
      <c r="C243" t="s">
        <v>2225</v>
      </c>
      <c r="D243">
        <v>390038</v>
      </c>
      <c r="E243">
        <v>0</v>
      </c>
      <c r="F243">
        <v>0</v>
      </c>
      <c r="G243">
        <v>390038</v>
      </c>
    </row>
    <row r="244" spans="1:7" x14ac:dyDescent="0.25">
      <c r="A244" t="s">
        <v>1865</v>
      </c>
      <c r="B244" t="s">
        <v>2226</v>
      </c>
      <c r="C244" t="s">
        <v>2034</v>
      </c>
      <c r="D244">
        <v>-251095.42</v>
      </c>
      <c r="E244">
        <v>0</v>
      </c>
      <c r="F244">
        <v>16890.97</v>
      </c>
      <c r="G244">
        <v>-267986.39</v>
      </c>
    </row>
    <row r="245" spans="1:7" x14ac:dyDescent="0.25">
      <c r="A245" t="s">
        <v>1865</v>
      </c>
      <c r="B245" t="s">
        <v>2227</v>
      </c>
      <c r="C245" t="s">
        <v>2228</v>
      </c>
      <c r="D245">
        <v>-251095.42</v>
      </c>
      <c r="E245">
        <v>0</v>
      </c>
      <c r="F245">
        <v>16890.97</v>
      </c>
      <c r="G245">
        <v>-267986.39</v>
      </c>
    </row>
    <row r="246" spans="1:7" x14ac:dyDescent="0.25">
      <c r="A246" t="s">
        <v>1865</v>
      </c>
      <c r="B246" t="s">
        <v>1605</v>
      </c>
      <c r="C246" t="s">
        <v>2229</v>
      </c>
      <c r="D246">
        <v>1093072.9700000002</v>
      </c>
      <c r="E246">
        <v>0</v>
      </c>
      <c r="F246">
        <v>77257.899999999994</v>
      </c>
      <c r="G246">
        <v>1015815.0700000001</v>
      </c>
    </row>
    <row r="247" spans="1:7" x14ac:dyDescent="0.25">
      <c r="A247" t="s">
        <v>1865</v>
      </c>
      <c r="B247" t="s">
        <v>2230</v>
      </c>
      <c r="C247" t="s">
        <v>2231</v>
      </c>
      <c r="D247">
        <v>813982.41</v>
      </c>
      <c r="E247">
        <v>0</v>
      </c>
      <c r="F247">
        <v>55155.1</v>
      </c>
      <c r="G247">
        <v>758827.31</v>
      </c>
    </row>
    <row r="248" spans="1:7" x14ac:dyDescent="0.25">
      <c r="A248" t="s">
        <v>1865</v>
      </c>
      <c r="B248" t="s">
        <v>2232</v>
      </c>
      <c r="C248" t="s">
        <v>2019</v>
      </c>
      <c r="D248">
        <v>1021520</v>
      </c>
      <c r="E248">
        <v>0</v>
      </c>
      <c r="F248">
        <v>0</v>
      </c>
      <c r="G248">
        <v>1021520</v>
      </c>
    </row>
    <row r="249" spans="1:7" x14ac:dyDescent="0.25">
      <c r="A249" t="s">
        <v>1865</v>
      </c>
      <c r="B249" t="s">
        <v>2233</v>
      </c>
      <c r="C249" t="s">
        <v>2234</v>
      </c>
      <c r="D249">
        <v>1021520</v>
      </c>
      <c r="E249">
        <v>0</v>
      </c>
      <c r="F249">
        <v>0</v>
      </c>
      <c r="G249">
        <v>1021520</v>
      </c>
    </row>
    <row r="250" spans="1:7" x14ac:dyDescent="0.25">
      <c r="A250" t="s">
        <v>1865</v>
      </c>
      <c r="B250" t="s">
        <v>2235</v>
      </c>
      <c r="C250" t="s">
        <v>2034</v>
      </c>
      <c r="D250">
        <v>-207537.59</v>
      </c>
      <c r="E250">
        <v>0</v>
      </c>
      <c r="F250">
        <v>55155.1</v>
      </c>
      <c r="G250">
        <v>-262692.69</v>
      </c>
    </row>
    <row r="251" spans="1:7" x14ac:dyDescent="0.25">
      <c r="A251" t="s">
        <v>1865</v>
      </c>
      <c r="B251" t="s">
        <v>2236</v>
      </c>
      <c r="C251" t="s">
        <v>2237</v>
      </c>
      <c r="D251">
        <v>-207537.59</v>
      </c>
      <c r="E251">
        <v>0</v>
      </c>
      <c r="F251">
        <v>55155.1</v>
      </c>
      <c r="G251">
        <v>-262692.69</v>
      </c>
    </row>
    <row r="252" spans="1:7" x14ac:dyDescent="0.25">
      <c r="A252" t="s">
        <v>1865</v>
      </c>
      <c r="B252" t="s">
        <v>2238</v>
      </c>
      <c r="C252" t="s">
        <v>2239</v>
      </c>
      <c r="D252">
        <v>279090.56000000006</v>
      </c>
      <c r="E252">
        <v>0</v>
      </c>
      <c r="F252">
        <v>22102.799999999999</v>
      </c>
      <c r="G252">
        <v>256987.76</v>
      </c>
    </row>
    <row r="253" spans="1:7" x14ac:dyDescent="0.25">
      <c r="A253" t="s">
        <v>1865</v>
      </c>
      <c r="B253" t="s">
        <v>2240</v>
      </c>
      <c r="C253" t="s">
        <v>2019</v>
      </c>
      <c r="D253">
        <v>1032566.5</v>
      </c>
      <c r="E253">
        <v>0</v>
      </c>
      <c r="F253">
        <v>0</v>
      </c>
      <c r="G253">
        <v>1032566.5</v>
      </c>
    </row>
    <row r="254" spans="1:7" x14ac:dyDescent="0.25">
      <c r="A254" t="s">
        <v>1865</v>
      </c>
      <c r="B254" t="s">
        <v>2241</v>
      </c>
      <c r="C254" t="s">
        <v>2242</v>
      </c>
      <c r="D254">
        <v>1032566.5</v>
      </c>
      <c r="E254">
        <v>0</v>
      </c>
      <c r="F254">
        <v>0</v>
      </c>
      <c r="G254">
        <v>1032566.5</v>
      </c>
    </row>
    <row r="255" spans="1:7" x14ac:dyDescent="0.25">
      <c r="A255" t="s">
        <v>1865</v>
      </c>
      <c r="B255" t="s">
        <v>2243</v>
      </c>
      <c r="C255" t="s">
        <v>2034</v>
      </c>
      <c r="D255">
        <v>-753475.94</v>
      </c>
      <c r="E255">
        <v>0</v>
      </c>
      <c r="F255">
        <v>22102.799999999999</v>
      </c>
      <c r="G255">
        <v>-775578.74</v>
      </c>
    </row>
    <row r="256" spans="1:7" x14ac:dyDescent="0.25">
      <c r="A256" t="s">
        <v>1865</v>
      </c>
      <c r="B256" t="s">
        <v>2244</v>
      </c>
      <c r="C256" t="s">
        <v>2245</v>
      </c>
      <c r="D256">
        <v>-753475.94</v>
      </c>
      <c r="E256">
        <v>0</v>
      </c>
      <c r="F256">
        <v>22102.799999999999</v>
      </c>
      <c r="G256">
        <v>-775578.74</v>
      </c>
    </row>
    <row r="257" spans="1:7" x14ac:dyDescent="0.25">
      <c r="A257" t="s">
        <v>1865</v>
      </c>
      <c r="B257" t="s">
        <v>1607</v>
      </c>
      <c r="C257" t="s">
        <v>2246</v>
      </c>
      <c r="D257">
        <v>1414384.62</v>
      </c>
      <c r="E257">
        <v>1137741.44</v>
      </c>
      <c r="F257">
        <v>651196.95000000007</v>
      </c>
      <c r="G257">
        <v>1900929.1100000003</v>
      </c>
    </row>
    <row r="258" spans="1:7" x14ac:dyDescent="0.25">
      <c r="A258" t="s">
        <v>1865</v>
      </c>
      <c r="B258" t="s">
        <v>2247</v>
      </c>
      <c r="C258" t="s">
        <v>2248</v>
      </c>
      <c r="D258">
        <v>1414384.62</v>
      </c>
      <c r="E258">
        <v>337978.13999999996</v>
      </c>
      <c r="F258">
        <v>594080.82000000007</v>
      </c>
      <c r="G258">
        <v>1158281.9400000004</v>
      </c>
    </row>
    <row r="259" spans="1:7" x14ac:dyDescent="0.25">
      <c r="A259" t="s">
        <v>1865</v>
      </c>
      <c r="B259" t="s">
        <v>2249</v>
      </c>
      <c r="C259" t="s">
        <v>2019</v>
      </c>
      <c r="D259">
        <v>1675071.1600000001</v>
      </c>
      <c r="E259">
        <v>333876.34999999998</v>
      </c>
      <c r="F259">
        <v>546905.88</v>
      </c>
      <c r="G259">
        <v>1462041.6300000004</v>
      </c>
    </row>
    <row r="260" spans="1:7" x14ac:dyDescent="0.25">
      <c r="A260" t="s">
        <v>1865</v>
      </c>
      <c r="B260" t="s">
        <v>2250</v>
      </c>
      <c r="C260" t="s">
        <v>2251</v>
      </c>
      <c r="D260">
        <v>1675071.1600000001</v>
      </c>
      <c r="E260">
        <v>333876.34999999998</v>
      </c>
      <c r="F260">
        <v>546905.88</v>
      </c>
      <c r="G260">
        <v>1462041.6300000004</v>
      </c>
    </row>
    <row r="261" spans="1:7" x14ac:dyDescent="0.25">
      <c r="A261" t="s">
        <v>1865</v>
      </c>
      <c r="B261" t="s">
        <v>2252</v>
      </c>
      <c r="C261" t="s">
        <v>2034</v>
      </c>
      <c r="D261">
        <v>-260686.54</v>
      </c>
      <c r="E261">
        <v>4101.79</v>
      </c>
      <c r="F261">
        <v>47174.94</v>
      </c>
      <c r="G261">
        <v>-303759.69</v>
      </c>
    </row>
    <row r="262" spans="1:7" x14ac:dyDescent="0.25">
      <c r="A262" t="s">
        <v>1865</v>
      </c>
      <c r="B262" t="s">
        <v>2253</v>
      </c>
      <c r="C262" t="s">
        <v>2254</v>
      </c>
      <c r="D262">
        <v>-260686.54</v>
      </c>
      <c r="E262">
        <v>4101.79</v>
      </c>
      <c r="F262">
        <v>47174.94</v>
      </c>
      <c r="G262">
        <v>-303759.69</v>
      </c>
    </row>
    <row r="263" spans="1:7" x14ac:dyDescent="0.25">
      <c r="A263" t="s">
        <v>1865</v>
      </c>
      <c r="B263" t="s">
        <v>2255</v>
      </c>
      <c r="C263" t="s">
        <v>2256</v>
      </c>
      <c r="D263">
        <v>0</v>
      </c>
      <c r="E263">
        <v>546905.88</v>
      </c>
      <c r="F263">
        <v>53323.27</v>
      </c>
      <c r="G263">
        <v>493582.61</v>
      </c>
    </row>
    <row r="264" spans="1:7" x14ac:dyDescent="0.25">
      <c r="A264" t="s">
        <v>1865</v>
      </c>
      <c r="B264" t="s">
        <v>2257</v>
      </c>
      <c r="C264" t="s">
        <v>2019</v>
      </c>
      <c r="D264">
        <v>0</v>
      </c>
      <c r="E264">
        <v>546905.88</v>
      </c>
      <c r="F264">
        <v>0</v>
      </c>
      <c r="G264">
        <v>546905.88</v>
      </c>
    </row>
    <row r="265" spans="1:7" x14ac:dyDescent="0.25">
      <c r="A265" t="s">
        <v>1865</v>
      </c>
      <c r="B265" t="s">
        <v>2258</v>
      </c>
      <c r="C265" t="s">
        <v>2259</v>
      </c>
      <c r="D265">
        <v>0</v>
      </c>
      <c r="E265">
        <v>546905.88</v>
      </c>
      <c r="F265">
        <v>0</v>
      </c>
      <c r="G265">
        <v>546905.88</v>
      </c>
    </row>
    <row r="266" spans="1:7" x14ac:dyDescent="0.25">
      <c r="A266" t="s">
        <v>1865</v>
      </c>
      <c r="B266" t="s">
        <v>2260</v>
      </c>
      <c r="C266" t="s">
        <v>2034</v>
      </c>
      <c r="D266">
        <v>0</v>
      </c>
      <c r="E266">
        <v>0</v>
      </c>
      <c r="F266">
        <v>53323.27</v>
      </c>
      <c r="G266">
        <v>-53323.27</v>
      </c>
    </row>
    <row r="267" spans="1:7" x14ac:dyDescent="0.25">
      <c r="A267" t="s">
        <v>1865</v>
      </c>
      <c r="B267" t="s">
        <v>2261</v>
      </c>
      <c r="C267" t="s">
        <v>2262</v>
      </c>
      <c r="D267">
        <v>0</v>
      </c>
      <c r="E267">
        <v>0</v>
      </c>
      <c r="F267">
        <v>53323.27</v>
      </c>
      <c r="G267">
        <v>-53323.27</v>
      </c>
    </row>
    <row r="268" spans="1:7" x14ac:dyDescent="0.25">
      <c r="A268" t="s">
        <v>1865</v>
      </c>
      <c r="B268" t="s">
        <v>2263</v>
      </c>
      <c r="C268" t="s">
        <v>2264</v>
      </c>
      <c r="D268">
        <v>0</v>
      </c>
      <c r="E268">
        <v>252857.42</v>
      </c>
      <c r="F268">
        <v>3792.86</v>
      </c>
      <c r="G268">
        <v>249064.56000000003</v>
      </c>
    </row>
    <row r="269" spans="1:7" x14ac:dyDescent="0.25">
      <c r="A269" t="s">
        <v>1865</v>
      </c>
      <c r="B269" t="s">
        <v>2265</v>
      </c>
      <c r="C269" t="s">
        <v>2019</v>
      </c>
      <c r="D269">
        <v>0</v>
      </c>
      <c r="E269">
        <v>252857.42</v>
      </c>
      <c r="F269">
        <v>0</v>
      </c>
      <c r="G269">
        <v>252857.42</v>
      </c>
    </row>
    <row r="270" spans="1:7" x14ac:dyDescent="0.25">
      <c r="A270" t="s">
        <v>1865</v>
      </c>
      <c r="B270" t="s">
        <v>2266</v>
      </c>
      <c r="C270" t="s">
        <v>2267</v>
      </c>
      <c r="D270">
        <v>0</v>
      </c>
      <c r="E270">
        <v>252857.42</v>
      </c>
      <c r="F270">
        <v>0</v>
      </c>
      <c r="G270">
        <v>252857.42</v>
      </c>
    </row>
    <row r="271" spans="1:7" x14ac:dyDescent="0.25">
      <c r="A271" t="s">
        <v>1865</v>
      </c>
      <c r="B271" t="s">
        <v>2268</v>
      </c>
      <c r="C271" t="s">
        <v>2034</v>
      </c>
      <c r="D271">
        <v>0</v>
      </c>
      <c r="E271">
        <v>0</v>
      </c>
      <c r="F271">
        <v>3792.86</v>
      </c>
      <c r="G271">
        <v>-3792.86</v>
      </c>
    </row>
    <row r="272" spans="1:7" x14ac:dyDescent="0.25">
      <c r="A272" t="s">
        <v>1865</v>
      </c>
      <c r="B272" t="s">
        <v>2269</v>
      </c>
      <c r="C272" t="s">
        <v>2270</v>
      </c>
      <c r="D272">
        <v>0</v>
      </c>
      <c r="E272">
        <v>0</v>
      </c>
      <c r="F272">
        <v>3792.86</v>
      </c>
      <c r="G272">
        <v>-3792.86</v>
      </c>
    </row>
    <row r="273" spans="1:7" x14ac:dyDescent="0.25">
      <c r="A273" t="s">
        <v>1865</v>
      </c>
      <c r="B273" t="s">
        <v>131</v>
      </c>
      <c r="C273" t="s">
        <v>2271</v>
      </c>
      <c r="D273">
        <v>8588901.1099999994</v>
      </c>
      <c r="E273">
        <v>43462983.170000002</v>
      </c>
      <c r="F273">
        <v>19939334.379999999</v>
      </c>
      <c r="G273">
        <v>32112549.900000002</v>
      </c>
    </row>
    <row r="274" spans="1:7" x14ac:dyDescent="0.25">
      <c r="A274" t="s">
        <v>1865</v>
      </c>
      <c r="B274" t="s">
        <v>1632</v>
      </c>
      <c r="C274" t="s">
        <v>2272</v>
      </c>
      <c r="D274">
        <v>0</v>
      </c>
      <c r="E274">
        <v>5046580</v>
      </c>
      <c r="F274">
        <v>5046580</v>
      </c>
      <c r="G274">
        <v>0</v>
      </c>
    </row>
    <row r="275" spans="1:7" x14ac:dyDescent="0.25">
      <c r="A275" t="s">
        <v>1865</v>
      </c>
      <c r="B275" t="s">
        <v>2273</v>
      </c>
      <c r="C275" t="s">
        <v>2274</v>
      </c>
      <c r="D275">
        <v>0</v>
      </c>
      <c r="E275">
        <v>5046580</v>
      </c>
      <c r="F275">
        <v>5046580</v>
      </c>
      <c r="G275">
        <v>0</v>
      </c>
    </row>
    <row r="276" spans="1:7" x14ac:dyDescent="0.25">
      <c r="A276" t="s">
        <v>1865</v>
      </c>
      <c r="B276" t="s">
        <v>2275</v>
      </c>
      <c r="C276" t="s">
        <v>2019</v>
      </c>
      <c r="D276">
        <v>0</v>
      </c>
      <c r="E276">
        <v>4972000</v>
      </c>
      <c r="F276">
        <v>4972000</v>
      </c>
      <c r="G276">
        <v>0</v>
      </c>
    </row>
    <row r="277" spans="1:7" x14ac:dyDescent="0.25">
      <c r="A277" t="s">
        <v>1865</v>
      </c>
      <c r="B277" t="s">
        <v>2276</v>
      </c>
      <c r="C277" t="s">
        <v>2277</v>
      </c>
      <c r="D277">
        <v>0</v>
      </c>
      <c r="E277">
        <v>4972000</v>
      </c>
      <c r="F277">
        <v>4972000</v>
      </c>
      <c r="G277">
        <v>0</v>
      </c>
    </row>
    <row r="278" spans="1:7" x14ac:dyDescent="0.25">
      <c r="A278" t="s">
        <v>1865</v>
      </c>
      <c r="B278" t="s">
        <v>2278</v>
      </c>
      <c r="C278" t="s">
        <v>2279</v>
      </c>
      <c r="D278">
        <v>0</v>
      </c>
      <c r="E278">
        <v>74580</v>
      </c>
      <c r="F278">
        <v>74580</v>
      </c>
      <c r="G278">
        <v>0</v>
      </c>
    </row>
    <row r="279" spans="1:7" x14ac:dyDescent="0.25">
      <c r="A279" t="s">
        <v>1865</v>
      </c>
      <c r="B279" t="s">
        <v>2280</v>
      </c>
      <c r="C279" t="s">
        <v>2281</v>
      </c>
      <c r="D279">
        <v>0</v>
      </c>
      <c r="E279">
        <v>74580</v>
      </c>
      <c r="F279">
        <v>74580</v>
      </c>
      <c r="G279">
        <v>0</v>
      </c>
    </row>
    <row r="280" spans="1:7" x14ac:dyDescent="0.25">
      <c r="A280" t="s">
        <v>1865</v>
      </c>
      <c r="B280" t="s">
        <v>1634</v>
      </c>
      <c r="C280" t="s">
        <v>2272</v>
      </c>
      <c r="D280">
        <v>8205748.1100000003</v>
      </c>
      <c r="E280">
        <v>38416403.170000002</v>
      </c>
      <c r="F280">
        <v>14892754.379999999</v>
      </c>
      <c r="G280">
        <v>31729396.900000002</v>
      </c>
    </row>
    <row r="281" spans="1:7" x14ac:dyDescent="0.25">
      <c r="A281" t="s">
        <v>1865</v>
      </c>
      <c r="B281" t="s">
        <v>2282</v>
      </c>
      <c r="C281" t="s">
        <v>2019</v>
      </c>
      <c r="D281">
        <v>8205748.1100000003</v>
      </c>
      <c r="E281">
        <v>38416403.170000002</v>
      </c>
      <c r="F281">
        <v>14892754.379999999</v>
      </c>
      <c r="G281">
        <v>31729396.900000002</v>
      </c>
    </row>
    <row r="282" spans="1:7" x14ac:dyDescent="0.25">
      <c r="A282" t="s">
        <v>1865</v>
      </c>
      <c r="B282" t="s">
        <v>2283</v>
      </c>
      <c r="C282" t="s">
        <v>2019</v>
      </c>
      <c r="D282">
        <v>8205748.1100000003</v>
      </c>
      <c r="E282">
        <v>38416403.170000002</v>
      </c>
      <c r="F282">
        <v>14107774.439999999</v>
      </c>
      <c r="G282">
        <v>32514376.840000004</v>
      </c>
    </row>
    <row r="283" spans="1:7" x14ac:dyDescent="0.25">
      <c r="A283" t="s">
        <v>1865</v>
      </c>
      <c r="B283" t="s">
        <v>2284</v>
      </c>
      <c r="C283" t="s">
        <v>2285</v>
      </c>
      <c r="D283">
        <v>8205748.1100000003</v>
      </c>
      <c r="E283">
        <v>38416403.170000002</v>
      </c>
      <c r="F283">
        <v>14107774.439999999</v>
      </c>
      <c r="G283">
        <v>32514376.840000004</v>
      </c>
    </row>
    <row r="284" spans="1:7" x14ac:dyDescent="0.25">
      <c r="A284" t="s">
        <v>1865</v>
      </c>
      <c r="B284" t="s">
        <v>2286</v>
      </c>
      <c r="C284" t="s">
        <v>2279</v>
      </c>
      <c r="D284">
        <v>0</v>
      </c>
      <c r="E284">
        <v>0</v>
      </c>
      <c r="F284">
        <v>784979.94</v>
      </c>
      <c r="G284">
        <v>-784979.94</v>
      </c>
    </row>
    <row r="285" spans="1:7" x14ac:dyDescent="0.25">
      <c r="A285" t="s">
        <v>1865</v>
      </c>
      <c r="B285" t="s">
        <v>2287</v>
      </c>
      <c r="C285" t="s">
        <v>2288</v>
      </c>
      <c r="D285">
        <v>0</v>
      </c>
      <c r="E285">
        <v>0</v>
      </c>
      <c r="F285">
        <v>784979.94</v>
      </c>
      <c r="G285">
        <v>-784979.94</v>
      </c>
    </row>
    <row r="286" spans="1:7" x14ac:dyDescent="0.25">
      <c r="A286" t="s">
        <v>1865</v>
      </c>
      <c r="B286" t="s">
        <v>1635</v>
      </c>
      <c r="C286" t="s">
        <v>897</v>
      </c>
      <c r="D286">
        <v>383153</v>
      </c>
      <c r="E286">
        <v>0</v>
      </c>
      <c r="F286">
        <v>0</v>
      </c>
      <c r="G286">
        <v>383153</v>
      </c>
    </row>
    <row r="287" spans="1:7" x14ac:dyDescent="0.25">
      <c r="A287" t="s">
        <v>1865</v>
      </c>
      <c r="B287" t="s">
        <v>2289</v>
      </c>
      <c r="C287" t="s">
        <v>2290</v>
      </c>
      <c r="D287">
        <v>383153</v>
      </c>
      <c r="E287">
        <v>0</v>
      </c>
      <c r="F287">
        <v>0</v>
      </c>
      <c r="G287">
        <v>383153</v>
      </c>
    </row>
    <row r="288" spans="1:7" x14ac:dyDescent="0.25">
      <c r="A288" t="s">
        <v>1865</v>
      </c>
      <c r="B288" t="s">
        <v>2291</v>
      </c>
      <c r="C288" t="s">
        <v>2290</v>
      </c>
      <c r="D288">
        <v>383153</v>
      </c>
      <c r="E288">
        <v>0</v>
      </c>
      <c r="F288">
        <v>0</v>
      </c>
      <c r="G288">
        <v>383153</v>
      </c>
    </row>
    <row r="289" spans="1:7" x14ac:dyDescent="0.25">
      <c r="A289" t="s">
        <v>1865</v>
      </c>
      <c r="B289" t="s">
        <v>2292</v>
      </c>
      <c r="C289" t="s">
        <v>2293</v>
      </c>
      <c r="D289">
        <v>360869</v>
      </c>
      <c r="E289">
        <v>0</v>
      </c>
      <c r="F289">
        <v>0</v>
      </c>
      <c r="G289">
        <v>360869</v>
      </c>
    </row>
    <row r="290" spans="1:7" x14ac:dyDescent="0.25">
      <c r="A290" t="s">
        <v>1865</v>
      </c>
      <c r="B290" t="s">
        <v>2294</v>
      </c>
      <c r="C290" t="s">
        <v>2295</v>
      </c>
      <c r="D290">
        <v>22284</v>
      </c>
      <c r="E290">
        <v>0</v>
      </c>
      <c r="F290">
        <v>0</v>
      </c>
      <c r="G290">
        <v>22284</v>
      </c>
    </row>
    <row r="291" spans="1:7" x14ac:dyDescent="0.25">
      <c r="A291" t="s">
        <v>1865</v>
      </c>
      <c r="B291" t="s">
        <v>150</v>
      </c>
      <c r="C291" t="s">
        <v>2296</v>
      </c>
      <c r="D291">
        <v>605488549.96000004</v>
      </c>
      <c r="E291">
        <v>89651045.079999998</v>
      </c>
      <c r="F291">
        <v>157770805.90000001</v>
      </c>
      <c r="G291">
        <v>537368789.1400001</v>
      </c>
    </row>
    <row r="292" spans="1:7" x14ac:dyDescent="0.25">
      <c r="A292" t="s">
        <v>1865</v>
      </c>
      <c r="B292" t="s">
        <v>159</v>
      </c>
      <c r="C292" t="s">
        <v>2297</v>
      </c>
      <c r="D292">
        <v>605488549.96000004</v>
      </c>
      <c r="E292">
        <v>89651045.079999998</v>
      </c>
      <c r="F292">
        <v>157770805.90000001</v>
      </c>
      <c r="G292">
        <v>537368789.1400001</v>
      </c>
    </row>
    <row r="293" spans="1:7" x14ac:dyDescent="0.25">
      <c r="A293" t="s">
        <v>1865</v>
      </c>
      <c r="B293" t="s">
        <v>2298</v>
      </c>
      <c r="C293" t="s">
        <v>2299</v>
      </c>
      <c r="D293">
        <v>605488549.96000004</v>
      </c>
      <c r="E293">
        <v>89651045.079999998</v>
      </c>
      <c r="F293">
        <v>157770805.90000001</v>
      </c>
      <c r="G293">
        <v>537368789.1400001</v>
      </c>
    </row>
    <row r="294" spans="1:7" x14ac:dyDescent="0.25">
      <c r="A294" t="s">
        <v>1865</v>
      </c>
      <c r="B294" t="s">
        <v>2300</v>
      </c>
      <c r="C294" t="s">
        <v>2299</v>
      </c>
      <c r="D294">
        <v>605488549.96000004</v>
      </c>
      <c r="E294">
        <v>89651045.079999998</v>
      </c>
      <c r="F294">
        <v>157770805.90000001</v>
      </c>
      <c r="G294">
        <v>537368789.1400001</v>
      </c>
    </row>
    <row r="295" spans="1:7" x14ac:dyDescent="0.25">
      <c r="A295" t="s">
        <v>1865</v>
      </c>
      <c r="B295" t="s">
        <v>2301</v>
      </c>
      <c r="C295" t="s">
        <v>2299</v>
      </c>
      <c r="D295">
        <v>605488549.96000004</v>
      </c>
      <c r="E295">
        <v>89651045.079999998</v>
      </c>
      <c r="F295">
        <v>157770805.90000001</v>
      </c>
      <c r="G295">
        <v>537368789.1400001</v>
      </c>
    </row>
    <row r="296" spans="1:7" x14ac:dyDescent="0.25">
      <c r="A296" t="s">
        <v>1865</v>
      </c>
      <c r="B296" t="s">
        <v>2302</v>
      </c>
      <c r="C296" t="s">
        <v>2303</v>
      </c>
      <c r="D296">
        <v>605488549.96000004</v>
      </c>
      <c r="E296">
        <v>89651045.079999998</v>
      </c>
      <c r="F296">
        <v>157770805.90000001</v>
      </c>
      <c r="G296">
        <v>537368789.1400001</v>
      </c>
    </row>
    <row r="297" spans="1:7" x14ac:dyDescent="0.25">
      <c r="A297" t="s">
        <v>1865</v>
      </c>
      <c r="B297" t="s">
        <v>161</v>
      </c>
      <c r="C297" t="s">
        <v>2304</v>
      </c>
      <c r="D297">
        <v>0</v>
      </c>
      <c r="E297">
        <v>3560125.78</v>
      </c>
      <c r="F297">
        <v>0</v>
      </c>
      <c r="G297">
        <v>3560125.78</v>
      </c>
    </row>
    <row r="298" spans="1:7" x14ac:dyDescent="0.25">
      <c r="A298" t="s">
        <v>1865</v>
      </c>
      <c r="B298" t="s">
        <v>168</v>
      </c>
      <c r="C298" t="s">
        <v>2305</v>
      </c>
      <c r="D298">
        <v>0</v>
      </c>
      <c r="E298">
        <v>3560125.78</v>
      </c>
      <c r="F298">
        <v>0</v>
      </c>
      <c r="G298">
        <v>3560125.78</v>
      </c>
    </row>
    <row r="299" spans="1:7" x14ac:dyDescent="0.25">
      <c r="A299" t="s">
        <v>1865</v>
      </c>
      <c r="B299" t="s">
        <v>2306</v>
      </c>
      <c r="C299" t="s">
        <v>2307</v>
      </c>
      <c r="D299">
        <v>0</v>
      </c>
      <c r="E299">
        <v>3560125.78</v>
      </c>
      <c r="F299">
        <v>0</v>
      </c>
      <c r="G299">
        <v>3560125.78</v>
      </c>
    </row>
    <row r="300" spans="1:7" x14ac:dyDescent="0.25">
      <c r="A300" t="s">
        <v>1865</v>
      </c>
      <c r="B300" t="s">
        <v>2308</v>
      </c>
      <c r="C300" t="s">
        <v>2309</v>
      </c>
      <c r="D300">
        <v>0</v>
      </c>
      <c r="E300">
        <v>3560125.78</v>
      </c>
      <c r="F300">
        <v>0</v>
      </c>
      <c r="G300">
        <v>3560125.78</v>
      </c>
    </row>
    <row r="301" spans="1:7" x14ac:dyDescent="0.25">
      <c r="A301" t="s">
        <v>1865</v>
      </c>
      <c r="B301" t="s">
        <v>2310</v>
      </c>
      <c r="C301" t="s">
        <v>2309</v>
      </c>
      <c r="D301">
        <v>0</v>
      </c>
      <c r="E301">
        <v>3560125.78</v>
      </c>
      <c r="F301">
        <v>0</v>
      </c>
      <c r="G301">
        <v>3560125.78</v>
      </c>
    </row>
    <row r="302" spans="1:7" x14ac:dyDescent="0.25">
      <c r="A302" t="s">
        <v>1865</v>
      </c>
      <c r="B302" t="s">
        <v>2311</v>
      </c>
      <c r="C302" t="s">
        <v>2309</v>
      </c>
      <c r="D302">
        <v>0</v>
      </c>
      <c r="E302">
        <v>3560125.78</v>
      </c>
      <c r="F302">
        <v>0</v>
      </c>
      <c r="G302">
        <v>3560125.78</v>
      </c>
    </row>
    <row r="303" spans="1:7" x14ac:dyDescent="0.25">
      <c r="A303" t="s">
        <v>1865</v>
      </c>
      <c r="B303" t="s">
        <v>173</v>
      </c>
      <c r="C303" t="s">
        <v>174</v>
      </c>
      <c r="D303">
        <v>182606966.22999999</v>
      </c>
      <c r="E303">
        <v>4865239171.7600002</v>
      </c>
      <c r="F303">
        <v>4997455413.6599998</v>
      </c>
      <c r="G303">
        <v>314823208.12999976</v>
      </c>
    </row>
    <row r="304" spans="1:7" x14ac:dyDescent="0.25">
      <c r="A304" t="s">
        <v>1865</v>
      </c>
      <c r="B304" t="s">
        <v>175</v>
      </c>
      <c r="C304" t="s">
        <v>2312</v>
      </c>
      <c r="D304">
        <v>182606966.22999999</v>
      </c>
      <c r="E304">
        <v>4865239171.7600002</v>
      </c>
      <c r="F304">
        <v>4997455413.6599998</v>
      </c>
      <c r="G304">
        <v>314823208.12999976</v>
      </c>
    </row>
    <row r="305" spans="1:7" x14ac:dyDescent="0.25">
      <c r="A305" t="s">
        <v>1865</v>
      </c>
      <c r="B305" t="s">
        <v>177</v>
      </c>
      <c r="C305" t="s">
        <v>2313</v>
      </c>
      <c r="D305">
        <v>179009815.88999999</v>
      </c>
      <c r="E305">
        <v>1805035553.02</v>
      </c>
      <c r="F305">
        <v>1921940935.6500001</v>
      </c>
      <c r="G305">
        <v>295915198.51999998</v>
      </c>
    </row>
    <row r="306" spans="1:7" x14ac:dyDescent="0.25">
      <c r="A306" t="s">
        <v>1865</v>
      </c>
      <c r="B306" t="s">
        <v>180</v>
      </c>
      <c r="C306" t="s">
        <v>2314</v>
      </c>
      <c r="D306">
        <v>104783822.36</v>
      </c>
      <c r="E306">
        <v>743310456.17000008</v>
      </c>
      <c r="F306">
        <v>855552033.18000007</v>
      </c>
      <c r="G306">
        <v>217025399.37</v>
      </c>
    </row>
    <row r="307" spans="1:7" x14ac:dyDescent="0.25">
      <c r="A307" t="s">
        <v>1865</v>
      </c>
      <c r="B307" t="s">
        <v>2315</v>
      </c>
      <c r="C307" t="s">
        <v>2316</v>
      </c>
      <c r="D307">
        <v>104783822.36</v>
      </c>
      <c r="E307">
        <v>743310456.17000008</v>
      </c>
      <c r="F307">
        <v>855552033.18000007</v>
      </c>
      <c r="G307">
        <v>217025399.37</v>
      </c>
    </row>
    <row r="308" spans="1:7" x14ac:dyDescent="0.25">
      <c r="A308" t="s">
        <v>1865</v>
      </c>
      <c r="B308" t="s">
        <v>2317</v>
      </c>
      <c r="C308" t="s">
        <v>2318</v>
      </c>
      <c r="D308">
        <v>104783822.36</v>
      </c>
      <c r="E308">
        <v>743310456.17000008</v>
      </c>
      <c r="F308">
        <v>855552033.18000007</v>
      </c>
      <c r="G308">
        <v>217025399.37</v>
      </c>
    </row>
    <row r="309" spans="1:7" x14ac:dyDescent="0.25">
      <c r="A309" t="s">
        <v>1865</v>
      </c>
      <c r="B309" t="s">
        <v>2319</v>
      </c>
      <c r="C309" t="s">
        <v>2320</v>
      </c>
      <c r="D309">
        <v>104783822.36</v>
      </c>
      <c r="E309">
        <v>743310456.17000008</v>
      </c>
      <c r="F309">
        <v>855552033.18000007</v>
      </c>
      <c r="G309">
        <v>217025399.37</v>
      </c>
    </row>
    <row r="310" spans="1:7" x14ac:dyDescent="0.25">
      <c r="A310" t="s">
        <v>1865</v>
      </c>
      <c r="B310" t="s">
        <v>2321</v>
      </c>
      <c r="C310" t="s">
        <v>2322</v>
      </c>
      <c r="D310">
        <v>104783822.36</v>
      </c>
      <c r="E310">
        <v>743310456.17000008</v>
      </c>
      <c r="F310">
        <v>855552033.18000007</v>
      </c>
      <c r="G310">
        <v>217025399.37</v>
      </c>
    </row>
    <row r="311" spans="1:7" x14ac:dyDescent="0.25">
      <c r="A311" t="s">
        <v>1865</v>
      </c>
      <c r="B311" t="s">
        <v>182</v>
      </c>
      <c r="C311" t="s">
        <v>2323</v>
      </c>
      <c r="D311">
        <v>74569350.149999991</v>
      </c>
      <c r="E311">
        <v>1061725096.85</v>
      </c>
      <c r="F311">
        <v>1066045545.8500001</v>
      </c>
      <c r="G311">
        <v>78889799.150000006</v>
      </c>
    </row>
    <row r="312" spans="1:7" x14ac:dyDescent="0.25">
      <c r="A312" t="s">
        <v>1865</v>
      </c>
      <c r="B312" t="s">
        <v>2324</v>
      </c>
      <c r="C312" t="s">
        <v>2325</v>
      </c>
      <c r="D312">
        <v>70118939.319999993</v>
      </c>
      <c r="E312">
        <v>1019274425.1</v>
      </c>
      <c r="F312">
        <v>1026710850.1600001</v>
      </c>
      <c r="G312">
        <v>77555364.38000001</v>
      </c>
    </row>
    <row r="313" spans="1:7" x14ac:dyDescent="0.25">
      <c r="A313" t="s">
        <v>1865</v>
      </c>
      <c r="B313" t="s">
        <v>2326</v>
      </c>
      <c r="C313" t="s">
        <v>2327</v>
      </c>
      <c r="D313">
        <v>52247651.369999997</v>
      </c>
      <c r="E313">
        <v>515517651.81999999</v>
      </c>
      <c r="F313">
        <v>517365614.95999998</v>
      </c>
      <c r="G313">
        <v>54095614.509999998</v>
      </c>
    </row>
    <row r="314" spans="1:7" x14ac:dyDescent="0.25">
      <c r="A314" t="s">
        <v>1865</v>
      </c>
      <c r="B314" t="s">
        <v>2328</v>
      </c>
      <c r="C314" t="s">
        <v>2327</v>
      </c>
      <c r="D314">
        <v>0</v>
      </c>
      <c r="E314">
        <v>465361513.82999998</v>
      </c>
      <c r="F314">
        <v>465361513.82999998</v>
      </c>
      <c r="G314">
        <v>0</v>
      </c>
    </row>
    <row r="315" spans="1:7" x14ac:dyDescent="0.25">
      <c r="A315" t="s">
        <v>1865</v>
      </c>
      <c r="B315" t="s">
        <v>2329</v>
      </c>
      <c r="C315" t="s">
        <v>2330</v>
      </c>
      <c r="D315">
        <v>0</v>
      </c>
      <c r="E315">
        <v>465361513.82999998</v>
      </c>
      <c r="F315">
        <v>465361513.82999998</v>
      </c>
      <c r="G315">
        <v>0</v>
      </c>
    </row>
    <row r="316" spans="1:7" x14ac:dyDescent="0.25">
      <c r="A316" t="s">
        <v>1865</v>
      </c>
      <c r="B316" t="s">
        <v>2331</v>
      </c>
      <c r="C316" t="s">
        <v>2332</v>
      </c>
      <c r="D316">
        <v>52247651.369999997</v>
      </c>
      <c r="E316">
        <v>50156137.990000002</v>
      </c>
      <c r="F316">
        <v>52004101.130000003</v>
      </c>
      <c r="G316">
        <v>54095614.509999998</v>
      </c>
    </row>
    <row r="317" spans="1:7" x14ac:dyDescent="0.25">
      <c r="A317" t="s">
        <v>1865</v>
      </c>
      <c r="B317" t="s">
        <v>2333</v>
      </c>
      <c r="C317" t="s">
        <v>2332</v>
      </c>
      <c r="D317">
        <v>52247651.369999997</v>
      </c>
      <c r="E317">
        <v>50156137.990000002</v>
      </c>
      <c r="F317">
        <v>52004101.130000003</v>
      </c>
      <c r="G317">
        <v>54095614.509999998</v>
      </c>
    </row>
    <row r="318" spans="1:7" x14ac:dyDescent="0.25">
      <c r="A318" t="s">
        <v>1865</v>
      </c>
      <c r="B318" t="s">
        <v>2334</v>
      </c>
      <c r="C318" t="s">
        <v>2335</v>
      </c>
      <c r="D318">
        <v>-959902.29</v>
      </c>
      <c r="E318">
        <v>55897303.310000002</v>
      </c>
      <c r="F318">
        <v>60212516.68</v>
      </c>
      <c r="G318">
        <v>3355311.0799999982</v>
      </c>
    </row>
    <row r="319" spans="1:7" x14ac:dyDescent="0.25">
      <c r="A319" t="s">
        <v>1865</v>
      </c>
      <c r="B319" t="s">
        <v>2336</v>
      </c>
      <c r="C319" t="s">
        <v>2337</v>
      </c>
      <c r="D319">
        <v>-959902.29</v>
      </c>
      <c r="E319">
        <v>55897303.310000002</v>
      </c>
      <c r="F319">
        <v>60212516.68</v>
      </c>
      <c r="G319">
        <v>3355311.0799999982</v>
      </c>
    </row>
    <row r="320" spans="1:7" x14ac:dyDescent="0.25">
      <c r="A320" t="s">
        <v>1865</v>
      </c>
      <c r="B320" t="s">
        <v>2338</v>
      </c>
      <c r="C320" t="s">
        <v>2337</v>
      </c>
      <c r="D320">
        <v>-959902.29</v>
      </c>
      <c r="E320">
        <v>55897303.310000002</v>
      </c>
      <c r="F320">
        <v>60212516.68</v>
      </c>
      <c r="G320">
        <v>3355311.0799999982</v>
      </c>
    </row>
    <row r="321" spans="1:7" x14ac:dyDescent="0.25">
      <c r="A321" t="s">
        <v>1865</v>
      </c>
      <c r="B321" t="s">
        <v>2339</v>
      </c>
      <c r="C321" t="s">
        <v>2340</v>
      </c>
      <c r="D321">
        <v>11413681.589999998</v>
      </c>
      <c r="E321">
        <v>143163365.76999998</v>
      </c>
      <c r="F321">
        <v>143962210.81999999</v>
      </c>
      <c r="G321">
        <v>12212526.640000015</v>
      </c>
    </row>
    <row r="322" spans="1:7" x14ac:dyDescent="0.25">
      <c r="A322" t="s">
        <v>1865</v>
      </c>
      <c r="B322" t="s">
        <v>2341</v>
      </c>
      <c r="C322" t="s">
        <v>2342</v>
      </c>
      <c r="D322">
        <v>11413681.589999998</v>
      </c>
      <c r="E322">
        <v>143163365.76999998</v>
      </c>
      <c r="F322">
        <v>143962210.81999999</v>
      </c>
      <c r="G322">
        <v>12212526.640000015</v>
      </c>
    </row>
    <row r="323" spans="1:7" x14ac:dyDescent="0.25">
      <c r="A323" t="s">
        <v>1865</v>
      </c>
      <c r="B323" t="s">
        <v>2343</v>
      </c>
      <c r="C323" t="s">
        <v>2344</v>
      </c>
      <c r="D323">
        <v>11413681.589999998</v>
      </c>
      <c r="E323">
        <v>143163365.76999998</v>
      </c>
      <c r="F323">
        <v>143962210.81999999</v>
      </c>
      <c r="G323">
        <v>12212526.640000015</v>
      </c>
    </row>
    <row r="324" spans="1:7" x14ac:dyDescent="0.25">
      <c r="A324" t="s">
        <v>1865</v>
      </c>
      <c r="B324" t="s">
        <v>2345</v>
      </c>
      <c r="C324" t="s">
        <v>2346</v>
      </c>
      <c r="D324">
        <v>2407719.88</v>
      </c>
      <c r="E324">
        <v>65267350.850000001</v>
      </c>
      <c r="F324">
        <v>65435880.859999999</v>
      </c>
      <c r="G324">
        <v>2576249.8899999969</v>
      </c>
    </row>
    <row r="325" spans="1:7" x14ac:dyDescent="0.25">
      <c r="A325" t="s">
        <v>1865</v>
      </c>
      <c r="B325" t="s">
        <v>2347</v>
      </c>
      <c r="C325" t="s">
        <v>2348</v>
      </c>
      <c r="D325">
        <v>2407719.88</v>
      </c>
      <c r="E325">
        <v>65267350.850000001</v>
      </c>
      <c r="F325">
        <v>65435880.859999999</v>
      </c>
      <c r="G325">
        <v>2576249.8899999969</v>
      </c>
    </row>
    <row r="326" spans="1:7" x14ac:dyDescent="0.25">
      <c r="A326" t="s">
        <v>1865</v>
      </c>
      <c r="B326" t="s">
        <v>2349</v>
      </c>
      <c r="C326" t="s">
        <v>2350</v>
      </c>
      <c r="D326">
        <v>2407719.88</v>
      </c>
      <c r="E326">
        <v>30203246.5</v>
      </c>
      <c r="F326">
        <v>30371776.509999998</v>
      </c>
      <c r="G326">
        <v>2576249.8899999969</v>
      </c>
    </row>
    <row r="327" spans="1:7" x14ac:dyDescent="0.25">
      <c r="A327" t="s">
        <v>1865</v>
      </c>
      <c r="B327" t="s">
        <v>2351</v>
      </c>
      <c r="C327" t="s">
        <v>2352</v>
      </c>
      <c r="D327">
        <v>0</v>
      </c>
      <c r="E327">
        <v>35064104.350000001</v>
      </c>
      <c r="F327">
        <v>35064104.350000001</v>
      </c>
      <c r="G327">
        <v>0</v>
      </c>
    </row>
    <row r="328" spans="1:7" x14ac:dyDescent="0.25">
      <c r="A328" t="s">
        <v>1865</v>
      </c>
      <c r="B328" t="s">
        <v>2353</v>
      </c>
      <c r="C328" t="s">
        <v>2354</v>
      </c>
      <c r="D328">
        <v>5009788.7699999996</v>
      </c>
      <c r="E328">
        <v>239428753.34999999</v>
      </c>
      <c r="F328">
        <v>239734626.83999997</v>
      </c>
      <c r="G328">
        <v>5315662.26</v>
      </c>
    </row>
    <row r="329" spans="1:7" x14ac:dyDescent="0.25">
      <c r="A329" t="s">
        <v>1865</v>
      </c>
      <c r="B329" t="s">
        <v>2355</v>
      </c>
      <c r="C329" t="s">
        <v>2354</v>
      </c>
      <c r="D329">
        <v>5009788.7699999996</v>
      </c>
      <c r="E329">
        <v>239428753.34999999</v>
      </c>
      <c r="F329">
        <v>239734626.83999997</v>
      </c>
      <c r="G329">
        <v>5315662.26</v>
      </c>
    </row>
    <row r="330" spans="1:7" x14ac:dyDescent="0.25">
      <c r="A330" t="s">
        <v>1865</v>
      </c>
      <c r="B330" t="s">
        <v>2356</v>
      </c>
      <c r="C330" t="s">
        <v>2350</v>
      </c>
      <c r="D330">
        <v>5009788.7699999996</v>
      </c>
      <c r="E330">
        <v>68954181.719999999</v>
      </c>
      <c r="F330">
        <v>69326429.010000005</v>
      </c>
      <c r="G330">
        <v>5382036.0600000024</v>
      </c>
    </row>
    <row r="331" spans="1:7" x14ac:dyDescent="0.25">
      <c r="A331" t="s">
        <v>1865</v>
      </c>
      <c r="B331" t="s">
        <v>2357</v>
      </c>
      <c r="C331" t="s">
        <v>2358</v>
      </c>
      <c r="D331">
        <v>0</v>
      </c>
      <c r="E331">
        <v>170474571.63</v>
      </c>
      <c r="F331">
        <v>170408197.82999998</v>
      </c>
      <c r="G331">
        <v>-66373.8</v>
      </c>
    </row>
    <row r="332" spans="1:7" x14ac:dyDescent="0.25">
      <c r="A332" t="s">
        <v>1865</v>
      </c>
      <c r="B332" t="s">
        <v>2359</v>
      </c>
      <c r="C332" t="s">
        <v>2360</v>
      </c>
      <c r="D332">
        <v>4450410.83</v>
      </c>
      <c r="E332">
        <v>42450671.75</v>
      </c>
      <c r="F332">
        <v>39334695.689999998</v>
      </c>
      <c r="G332">
        <v>1334434.7699999958</v>
      </c>
    </row>
    <row r="333" spans="1:7" x14ac:dyDescent="0.25">
      <c r="A333" t="s">
        <v>1865</v>
      </c>
      <c r="B333" t="s">
        <v>2361</v>
      </c>
      <c r="C333" t="s">
        <v>2362</v>
      </c>
      <c r="D333">
        <v>4450410.83</v>
      </c>
      <c r="E333">
        <v>42450671.75</v>
      </c>
      <c r="F333">
        <v>39334695.689999998</v>
      </c>
      <c r="G333">
        <v>1334434.7699999958</v>
      </c>
    </row>
    <row r="334" spans="1:7" x14ac:dyDescent="0.25">
      <c r="A334" t="s">
        <v>1865</v>
      </c>
      <c r="B334" t="s">
        <v>2363</v>
      </c>
      <c r="C334" t="s">
        <v>2362</v>
      </c>
      <c r="D334">
        <v>4450410.83</v>
      </c>
      <c r="E334">
        <v>42450671.75</v>
      </c>
      <c r="F334">
        <v>39334695.689999998</v>
      </c>
      <c r="G334">
        <v>1334434.7699999958</v>
      </c>
    </row>
    <row r="335" spans="1:7" x14ac:dyDescent="0.25">
      <c r="A335" t="s">
        <v>1865</v>
      </c>
      <c r="B335" t="s">
        <v>2364</v>
      </c>
      <c r="C335" t="s">
        <v>2365</v>
      </c>
      <c r="D335">
        <v>4450410.83</v>
      </c>
      <c r="E335">
        <v>42450671.75</v>
      </c>
      <c r="F335">
        <v>39334695.689999998</v>
      </c>
      <c r="G335">
        <v>1334434.7699999958</v>
      </c>
    </row>
    <row r="336" spans="1:7" x14ac:dyDescent="0.25">
      <c r="A336" t="s">
        <v>1865</v>
      </c>
      <c r="B336" t="s">
        <v>184</v>
      </c>
      <c r="C336" t="s">
        <v>2366</v>
      </c>
      <c r="D336">
        <v>-343356.62</v>
      </c>
      <c r="E336">
        <v>0</v>
      </c>
      <c r="F336">
        <v>343356.62</v>
      </c>
      <c r="G336">
        <v>0</v>
      </c>
    </row>
    <row r="337" spans="1:7" x14ac:dyDescent="0.25">
      <c r="A337" t="s">
        <v>1865</v>
      </c>
      <c r="B337" t="s">
        <v>2367</v>
      </c>
      <c r="C337" t="s">
        <v>2368</v>
      </c>
      <c r="D337">
        <v>-343356.62</v>
      </c>
      <c r="E337">
        <v>0</v>
      </c>
      <c r="F337">
        <v>343356.62</v>
      </c>
      <c r="G337">
        <v>0</v>
      </c>
    </row>
    <row r="338" spans="1:7" x14ac:dyDescent="0.25">
      <c r="A338" t="s">
        <v>1865</v>
      </c>
      <c r="B338" t="s">
        <v>2369</v>
      </c>
      <c r="C338" t="s">
        <v>2370</v>
      </c>
      <c r="D338">
        <v>-343356.62</v>
      </c>
      <c r="E338">
        <v>0</v>
      </c>
      <c r="F338">
        <v>343356.62</v>
      </c>
      <c r="G338">
        <v>0</v>
      </c>
    </row>
    <row r="339" spans="1:7" x14ac:dyDescent="0.25">
      <c r="A339" t="s">
        <v>1865</v>
      </c>
      <c r="B339" t="s">
        <v>2371</v>
      </c>
      <c r="C339" t="s">
        <v>2372</v>
      </c>
      <c r="D339">
        <v>-343356.62</v>
      </c>
      <c r="E339">
        <v>0</v>
      </c>
      <c r="F339">
        <v>343356.62</v>
      </c>
      <c r="G339">
        <v>0</v>
      </c>
    </row>
    <row r="340" spans="1:7" x14ac:dyDescent="0.25">
      <c r="A340" t="s">
        <v>1865</v>
      </c>
      <c r="B340" t="s">
        <v>2373</v>
      </c>
      <c r="C340" t="s">
        <v>2372</v>
      </c>
      <c r="D340">
        <v>-343356.62</v>
      </c>
      <c r="E340">
        <v>0</v>
      </c>
      <c r="F340">
        <v>343356.62</v>
      </c>
      <c r="G340">
        <v>0</v>
      </c>
    </row>
    <row r="341" spans="1:7" x14ac:dyDescent="0.25">
      <c r="A341" t="s">
        <v>1865</v>
      </c>
      <c r="B341" t="s">
        <v>213</v>
      </c>
      <c r="C341" t="s">
        <v>2374</v>
      </c>
      <c r="D341">
        <v>3597150.34</v>
      </c>
      <c r="E341">
        <v>197916650</v>
      </c>
      <c r="F341">
        <v>199259008.63999999</v>
      </c>
      <c r="G341">
        <v>4939508.9799999995</v>
      </c>
    </row>
    <row r="342" spans="1:7" x14ac:dyDescent="0.25">
      <c r="A342" t="s">
        <v>1865</v>
      </c>
      <c r="B342" t="s">
        <v>220</v>
      </c>
      <c r="C342" t="s">
        <v>2375</v>
      </c>
      <c r="D342">
        <v>3597150.34</v>
      </c>
      <c r="E342">
        <v>30</v>
      </c>
      <c r="F342">
        <v>1342388.64</v>
      </c>
      <c r="G342">
        <v>4939508.9799999995</v>
      </c>
    </row>
    <row r="343" spans="1:7" x14ac:dyDescent="0.25">
      <c r="A343" t="s">
        <v>1865</v>
      </c>
      <c r="B343" t="s">
        <v>2376</v>
      </c>
      <c r="C343" t="s">
        <v>2377</v>
      </c>
      <c r="D343">
        <v>3597150.34</v>
      </c>
      <c r="E343">
        <v>30</v>
      </c>
      <c r="F343">
        <v>1342388.64</v>
      </c>
      <c r="G343">
        <v>4939508.9799999995</v>
      </c>
    </row>
    <row r="344" spans="1:7" x14ac:dyDescent="0.25">
      <c r="A344" t="s">
        <v>1865</v>
      </c>
      <c r="B344" t="s">
        <v>2378</v>
      </c>
      <c r="C344" t="s">
        <v>2379</v>
      </c>
      <c r="D344">
        <v>3597150.34</v>
      </c>
      <c r="E344">
        <v>30</v>
      </c>
      <c r="F344">
        <v>1342388.64</v>
      </c>
      <c r="G344">
        <v>4939508.9799999995</v>
      </c>
    </row>
    <row r="345" spans="1:7" x14ac:dyDescent="0.25">
      <c r="A345" t="s">
        <v>1865</v>
      </c>
      <c r="B345" t="s">
        <v>2380</v>
      </c>
      <c r="C345" t="s">
        <v>2379</v>
      </c>
      <c r="D345">
        <v>3597150.34</v>
      </c>
      <c r="E345">
        <v>30</v>
      </c>
      <c r="F345">
        <v>1342388.64</v>
      </c>
      <c r="G345">
        <v>4939508.9799999995</v>
      </c>
    </row>
    <row r="346" spans="1:7" x14ac:dyDescent="0.25">
      <c r="A346" t="s">
        <v>1865</v>
      </c>
      <c r="B346" t="s">
        <v>2381</v>
      </c>
      <c r="C346" t="s">
        <v>2379</v>
      </c>
      <c r="D346">
        <v>3597150.34</v>
      </c>
      <c r="E346">
        <v>30</v>
      </c>
      <c r="F346">
        <v>1342388.64</v>
      </c>
      <c r="G346">
        <v>4939508.9799999995</v>
      </c>
    </row>
    <row r="347" spans="1:7" x14ac:dyDescent="0.25">
      <c r="A347" t="s">
        <v>1865</v>
      </c>
      <c r="B347" t="s">
        <v>222</v>
      </c>
      <c r="C347" t="s">
        <v>2382</v>
      </c>
      <c r="D347">
        <v>0</v>
      </c>
      <c r="E347">
        <v>197916620</v>
      </c>
      <c r="F347">
        <v>197916620</v>
      </c>
      <c r="G347">
        <v>0</v>
      </c>
    </row>
    <row r="348" spans="1:7" x14ac:dyDescent="0.25">
      <c r="A348" t="s">
        <v>1865</v>
      </c>
      <c r="B348" t="s">
        <v>2383</v>
      </c>
      <c r="C348" t="s">
        <v>2384</v>
      </c>
      <c r="D348">
        <v>0</v>
      </c>
      <c r="E348">
        <v>197916620</v>
      </c>
      <c r="F348">
        <v>197916620</v>
      </c>
      <c r="G348">
        <v>0</v>
      </c>
    </row>
    <row r="349" spans="1:7" x14ac:dyDescent="0.25">
      <c r="A349" t="s">
        <v>1865</v>
      </c>
      <c r="B349" t="s">
        <v>2385</v>
      </c>
      <c r="C349" t="s">
        <v>2386</v>
      </c>
      <c r="D349">
        <v>0</v>
      </c>
      <c r="E349">
        <v>197916620</v>
      </c>
      <c r="F349">
        <v>197916620</v>
      </c>
      <c r="G349">
        <v>0</v>
      </c>
    </row>
    <row r="350" spans="1:7" x14ac:dyDescent="0.25">
      <c r="A350" t="s">
        <v>1865</v>
      </c>
      <c r="B350" t="s">
        <v>2387</v>
      </c>
      <c r="C350" t="s">
        <v>2388</v>
      </c>
      <c r="D350">
        <v>0</v>
      </c>
      <c r="E350">
        <v>197916620</v>
      </c>
      <c r="F350">
        <v>197916620</v>
      </c>
      <c r="G350">
        <v>0</v>
      </c>
    </row>
    <row r="351" spans="1:7" x14ac:dyDescent="0.25">
      <c r="A351" t="s">
        <v>1865</v>
      </c>
      <c r="B351" t="s">
        <v>2389</v>
      </c>
      <c r="C351" t="s">
        <v>2390</v>
      </c>
      <c r="D351">
        <v>0</v>
      </c>
      <c r="E351">
        <v>197916620</v>
      </c>
      <c r="F351">
        <v>197916620</v>
      </c>
      <c r="G351">
        <v>0</v>
      </c>
    </row>
    <row r="352" spans="1:7" x14ac:dyDescent="0.25">
      <c r="A352" t="s">
        <v>1865</v>
      </c>
      <c r="B352" t="s">
        <v>231</v>
      </c>
      <c r="C352" t="s">
        <v>2391</v>
      </c>
      <c r="D352">
        <v>0</v>
      </c>
      <c r="E352">
        <v>2862286968.7400002</v>
      </c>
      <c r="F352">
        <v>2876255469.3699999</v>
      </c>
      <c r="G352">
        <v>13968500.630000001</v>
      </c>
    </row>
    <row r="353" spans="1:7" x14ac:dyDescent="0.25">
      <c r="A353" t="s">
        <v>1865</v>
      </c>
      <c r="B353" t="s">
        <v>234</v>
      </c>
      <c r="C353" t="s">
        <v>2392</v>
      </c>
      <c r="D353">
        <v>0</v>
      </c>
      <c r="E353">
        <v>2862231480.9000001</v>
      </c>
      <c r="F353">
        <v>2876210756.6399999</v>
      </c>
      <c r="G353">
        <v>13979275.74</v>
      </c>
    </row>
    <row r="354" spans="1:7" x14ac:dyDescent="0.25">
      <c r="A354" t="s">
        <v>1865</v>
      </c>
      <c r="B354" t="s">
        <v>2393</v>
      </c>
      <c r="C354" t="s">
        <v>2394</v>
      </c>
      <c r="D354">
        <v>0</v>
      </c>
      <c r="E354">
        <v>2862231480.9000001</v>
      </c>
      <c r="F354">
        <v>2876210756.6399999</v>
      </c>
      <c r="G354">
        <v>13979275.74</v>
      </c>
    </row>
    <row r="355" spans="1:7" x14ac:dyDescent="0.25">
      <c r="A355" t="s">
        <v>1865</v>
      </c>
      <c r="B355" t="s">
        <v>2395</v>
      </c>
      <c r="C355" t="s">
        <v>2394</v>
      </c>
      <c r="D355">
        <v>0</v>
      </c>
      <c r="E355">
        <v>2862231480.9000001</v>
      </c>
      <c r="F355">
        <v>2876210756.6399999</v>
      </c>
      <c r="G355">
        <v>13979275.74</v>
      </c>
    </row>
    <row r="356" spans="1:7" x14ac:dyDescent="0.25">
      <c r="A356" t="s">
        <v>1865</v>
      </c>
      <c r="B356" t="s">
        <v>2396</v>
      </c>
      <c r="C356" t="s">
        <v>2394</v>
      </c>
      <c r="D356">
        <v>0</v>
      </c>
      <c r="E356">
        <v>2862231480.9000001</v>
      </c>
      <c r="F356">
        <v>2876210756.6399999</v>
      </c>
      <c r="G356">
        <v>13979275.74</v>
      </c>
    </row>
    <row r="357" spans="1:7" x14ac:dyDescent="0.25">
      <c r="A357" t="s">
        <v>1865</v>
      </c>
      <c r="B357" t="s">
        <v>2397</v>
      </c>
      <c r="C357" t="s">
        <v>2365</v>
      </c>
      <c r="D357">
        <v>0</v>
      </c>
      <c r="E357">
        <v>2862231480.9000001</v>
      </c>
      <c r="F357">
        <v>2876210756.6399999</v>
      </c>
      <c r="G357">
        <v>13979275.74</v>
      </c>
    </row>
    <row r="358" spans="1:7" x14ac:dyDescent="0.25">
      <c r="A358" t="s">
        <v>1865</v>
      </c>
      <c r="B358" t="s">
        <v>238</v>
      </c>
      <c r="C358" t="s">
        <v>2398</v>
      </c>
      <c r="D358">
        <v>0</v>
      </c>
      <c r="E358">
        <v>55487.840000000004</v>
      </c>
      <c r="F358">
        <v>44712.73</v>
      </c>
      <c r="G358">
        <v>-10775.11</v>
      </c>
    </row>
    <row r="359" spans="1:7" x14ac:dyDescent="0.25">
      <c r="A359" t="s">
        <v>1865</v>
      </c>
      <c r="B359" t="s">
        <v>2399</v>
      </c>
      <c r="C359" t="s">
        <v>2400</v>
      </c>
      <c r="D359">
        <v>0</v>
      </c>
      <c r="E359">
        <v>55487.840000000004</v>
      </c>
      <c r="F359">
        <v>44712.73</v>
      </c>
      <c r="G359">
        <v>-10775.11</v>
      </c>
    </row>
    <row r="360" spans="1:7" x14ac:dyDescent="0.25">
      <c r="A360" t="s">
        <v>1865</v>
      </c>
      <c r="B360" t="s">
        <v>2401</v>
      </c>
      <c r="C360" t="s">
        <v>2402</v>
      </c>
      <c r="D360">
        <v>0</v>
      </c>
      <c r="E360">
        <v>55487.840000000004</v>
      </c>
      <c r="F360">
        <v>44712.73</v>
      </c>
      <c r="G360">
        <v>-10775.11</v>
      </c>
    </row>
    <row r="361" spans="1:7" x14ac:dyDescent="0.25">
      <c r="A361" t="s">
        <v>1865</v>
      </c>
      <c r="B361" t="s">
        <v>2403</v>
      </c>
      <c r="C361" t="s">
        <v>2394</v>
      </c>
      <c r="D361">
        <v>0</v>
      </c>
      <c r="E361">
        <v>55487.840000000004</v>
      </c>
      <c r="F361">
        <v>44712.73</v>
      </c>
      <c r="G361">
        <v>-10775.11</v>
      </c>
    </row>
    <row r="362" spans="1:7" x14ac:dyDescent="0.25">
      <c r="A362" t="s">
        <v>1865</v>
      </c>
      <c r="B362" t="s">
        <v>2404</v>
      </c>
      <c r="C362" t="s">
        <v>2350</v>
      </c>
      <c r="D362">
        <v>0</v>
      </c>
      <c r="E362">
        <v>55487.840000000004</v>
      </c>
      <c r="F362">
        <v>44712.73</v>
      </c>
      <c r="G362">
        <v>-10775.11</v>
      </c>
    </row>
    <row r="363" spans="1:7" x14ac:dyDescent="0.25">
      <c r="A363" t="s">
        <v>1865</v>
      </c>
      <c r="B363" t="s">
        <v>291</v>
      </c>
      <c r="C363" t="s">
        <v>292</v>
      </c>
      <c r="D363">
        <v>2485663539.8700008</v>
      </c>
      <c r="E363">
        <v>34201597778.780003</v>
      </c>
      <c r="F363">
        <v>34519751281.190002</v>
      </c>
      <c r="G363">
        <v>2803817042.2800007</v>
      </c>
    </row>
    <row r="364" spans="1:7" x14ac:dyDescent="0.25">
      <c r="A364" t="s">
        <v>1865</v>
      </c>
      <c r="B364" t="s">
        <v>293</v>
      </c>
      <c r="C364" t="s">
        <v>2405</v>
      </c>
      <c r="D364">
        <v>2485663539.8700008</v>
      </c>
      <c r="E364">
        <v>34201597778.780003</v>
      </c>
      <c r="F364">
        <v>34519751281.190002</v>
      </c>
      <c r="G364">
        <v>2803817042.2800007</v>
      </c>
    </row>
    <row r="365" spans="1:7" x14ac:dyDescent="0.25">
      <c r="A365" t="s">
        <v>1865</v>
      </c>
      <c r="B365" t="s">
        <v>295</v>
      </c>
      <c r="C365" t="s">
        <v>2406</v>
      </c>
      <c r="D365">
        <v>11454243560.51</v>
      </c>
      <c r="E365">
        <v>22825184639.050003</v>
      </c>
      <c r="F365">
        <v>11371741078.539999</v>
      </c>
      <c r="G365">
        <v>800000</v>
      </c>
    </row>
    <row r="366" spans="1:7" x14ac:dyDescent="0.25">
      <c r="A366" t="s">
        <v>1865</v>
      </c>
      <c r="B366" t="s">
        <v>298</v>
      </c>
      <c r="C366" t="s">
        <v>2407</v>
      </c>
      <c r="D366">
        <v>325948581.22000003</v>
      </c>
      <c r="E366">
        <v>11696889659.76</v>
      </c>
      <c r="F366">
        <v>11371019100.65</v>
      </c>
      <c r="G366">
        <v>78022.11</v>
      </c>
    </row>
    <row r="367" spans="1:7" x14ac:dyDescent="0.25">
      <c r="A367" t="s">
        <v>1865</v>
      </c>
      <c r="B367" t="s">
        <v>2408</v>
      </c>
      <c r="C367" t="s">
        <v>2409</v>
      </c>
      <c r="D367">
        <v>78022.11</v>
      </c>
      <c r="E367">
        <v>0</v>
      </c>
      <c r="F367">
        <v>0</v>
      </c>
      <c r="G367">
        <v>78022.11</v>
      </c>
    </row>
    <row r="368" spans="1:7" x14ac:dyDescent="0.25">
      <c r="A368" t="s">
        <v>1865</v>
      </c>
      <c r="B368" t="s">
        <v>2410</v>
      </c>
      <c r="C368" t="s">
        <v>2409</v>
      </c>
      <c r="D368">
        <v>78022.11</v>
      </c>
      <c r="E368">
        <v>0</v>
      </c>
      <c r="F368">
        <v>0</v>
      </c>
      <c r="G368">
        <v>78022.11</v>
      </c>
    </row>
    <row r="369" spans="1:7" x14ac:dyDescent="0.25">
      <c r="A369" t="s">
        <v>1865</v>
      </c>
      <c r="B369" t="s">
        <v>2411</v>
      </c>
      <c r="C369" t="s">
        <v>2409</v>
      </c>
      <c r="D369">
        <v>78022.11</v>
      </c>
      <c r="E369">
        <v>0</v>
      </c>
      <c r="F369">
        <v>0</v>
      </c>
      <c r="G369">
        <v>78022.11</v>
      </c>
    </row>
    <row r="370" spans="1:7" x14ac:dyDescent="0.25">
      <c r="A370" t="s">
        <v>1865</v>
      </c>
      <c r="B370" t="s">
        <v>2412</v>
      </c>
      <c r="C370" t="s">
        <v>2409</v>
      </c>
      <c r="D370">
        <v>78022.11</v>
      </c>
      <c r="E370">
        <v>0</v>
      </c>
      <c r="F370">
        <v>0</v>
      </c>
      <c r="G370">
        <v>78022.11</v>
      </c>
    </row>
    <row r="371" spans="1:7" x14ac:dyDescent="0.25">
      <c r="A371" t="s">
        <v>1865</v>
      </c>
      <c r="B371" t="s">
        <v>2413</v>
      </c>
      <c r="C371" t="s">
        <v>2414</v>
      </c>
      <c r="D371">
        <v>325870559.11000001</v>
      </c>
      <c r="E371">
        <v>11696889659.76</v>
      </c>
      <c r="F371">
        <v>11371019100.65</v>
      </c>
      <c r="G371">
        <v>0</v>
      </c>
    </row>
    <row r="372" spans="1:7" x14ac:dyDescent="0.25">
      <c r="A372" t="s">
        <v>1865</v>
      </c>
      <c r="B372" t="s">
        <v>2415</v>
      </c>
      <c r="C372" t="s">
        <v>2414</v>
      </c>
      <c r="D372">
        <v>325870559.11000001</v>
      </c>
      <c r="E372">
        <v>11696889659.76</v>
      </c>
      <c r="F372">
        <v>11371019100.65</v>
      </c>
      <c r="G372">
        <v>0</v>
      </c>
    </row>
    <row r="373" spans="1:7" x14ac:dyDescent="0.25">
      <c r="A373" t="s">
        <v>1865</v>
      </c>
      <c r="B373" t="s">
        <v>2416</v>
      </c>
      <c r="C373" t="s">
        <v>2414</v>
      </c>
      <c r="D373">
        <v>325870559.11000001</v>
      </c>
      <c r="E373">
        <v>11696889659.76</v>
      </c>
      <c r="F373">
        <v>11371019100.65</v>
      </c>
      <c r="G373">
        <v>0</v>
      </c>
    </row>
    <row r="374" spans="1:7" x14ac:dyDescent="0.25">
      <c r="A374" t="s">
        <v>1865</v>
      </c>
      <c r="B374" t="s">
        <v>2417</v>
      </c>
      <c r="C374" t="s">
        <v>2418</v>
      </c>
      <c r="D374">
        <v>325870559.11000001</v>
      </c>
      <c r="E374">
        <v>11696889659.76</v>
      </c>
      <c r="F374">
        <v>11371019100.65</v>
      </c>
      <c r="G374">
        <v>0</v>
      </c>
    </row>
    <row r="375" spans="1:7" x14ac:dyDescent="0.25">
      <c r="A375" t="s">
        <v>1865</v>
      </c>
      <c r="B375" t="s">
        <v>300</v>
      </c>
      <c r="C375" t="s">
        <v>2419</v>
      </c>
      <c r="D375">
        <v>11128294979.290001</v>
      </c>
      <c r="E375">
        <v>11128294979.290001</v>
      </c>
      <c r="F375">
        <v>721977.89</v>
      </c>
      <c r="G375">
        <v>721977.89</v>
      </c>
    </row>
    <row r="376" spans="1:7" x14ac:dyDescent="0.25">
      <c r="A376" t="s">
        <v>1865</v>
      </c>
      <c r="B376" t="s">
        <v>2420</v>
      </c>
      <c r="C376" t="s">
        <v>2421</v>
      </c>
      <c r="D376">
        <v>11128294979.290001</v>
      </c>
      <c r="E376">
        <v>11128294979.290001</v>
      </c>
      <c r="F376">
        <v>721977.89</v>
      </c>
      <c r="G376">
        <v>721977.89</v>
      </c>
    </row>
    <row r="377" spans="1:7" x14ac:dyDescent="0.25">
      <c r="A377" t="s">
        <v>1865</v>
      </c>
      <c r="B377" t="s">
        <v>2422</v>
      </c>
      <c r="C377" t="s">
        <v>2421</v>
      </c>
      <c r="D377">
        <v>11128294979.290001</v>
      </c>
      <c r="E377">
        <v>11128294979.290001</v>
      </c>
      <c r="F377">
        <v>721977.89</v>
      </c>
      <c r="G377">
        <v>721977.89</v>
      </c>
    </row>
    <row r="378" spans="1:7" x14ac:dyDescent="0.25">
      <c r="A378" t="s">
        <v>1865</v>
      </c>
      <c r="B378" t="s">
        <v>2423</v>
      </c>
      <c r="C378" t="s">
        <v>2421</v>
      </c>
      <c r="D378">
        <v>11128294979.290001</v>
      </c>
      <c r="E378">
        <v>11128294979.290001</v>
      </c>
      <c r="F378">
        <v>721977.89</v>
      </c>
      <c r="G378">
        <v>721977.89</v>
      </c>
    </row>
    <row r="379" spans="1:7" x14ac:dyDescent="0.25">
      <c r="A379" t="s">
        <v>1865</v>
      </c>
      <c r="B379" t="s">
        <v>2424</v>
      </c>
      <c r="C379" t="s">
        <v>2421</v>
      </c>
      <c r="D379">
        <v>11128294979.290001</v>
      </c>
      <c r="E379">
        <v>11128294979.290001</v>
      </c>
      <c r="F379">
        <v>721977.89</v>
      </c>
      <c r="G379">
        <v>721977.89</v>
      </c>
    </row>
    <row r="380" spans="1:7" x14ac:dyDescent="0.25">
      <c r="A380" t="s">
        <v>1865</v>
      </c>
      <c r="B380" t="s">
        <v>309</v>
      </c>
      <c r="C380" t="s">
        <v>2425</v>
      </c>
      <c r="D380">
        <v>164771410.40000001</v>
      </c>
      <c r="E380">
        <v>0</v>
      </c>
      <c r="F380">
        <v>306180520.69</v>
      </c>
      <c r="G380">
        <v>470951931.09000003</v>
      </c>
    </row>
    <row r="381" spans="1:7" x14ac:dyDescent="0.25">
      <c r="A381" t="s">
        <v>1865</v>
      </c>
      <c r="B381" t="s">
        <v>312</v>
      </c>
      <c r="C381" t="s">
        <v>2426</v>
      </c>
      <c r="D381">
        <v>164771410.40000001</v>
      </c>
      <c r="E381">
        <v>0</v>
      </c>
      <c r="F381">
        <v>306180520.69</v>
      </c>
      <c r="G381">
        <v>470951931.09000003</v>
      </c>
    </row>
    <row r="382" spans="1:7" x14ac:dyDescent="0.25">
      <c r="A382" t="s">
        <v>1865</v>
      </c>
      <c r="B382" t="s">
        <v>2427</v>
      </c>
      <c r="C382" t="s">
        <v>2428</v>
      </c>
      <c r="D382">
        <v>164771410.40000001</v>
      </c>
      <c r="E382">
        <v>0</v>
      </c>
      <c r="F382">
        <v>306180520.69</v>
      </c>
      <c r="G382">
        <v>470951931.09000003</v>
      </c>
    </row>
    <row r="383" spans="1:7" x14ac:dyDescent="0.25">
      <c r="A383" t="s">
        <v>1865</v>
      </c>
      <c r="B383" t="s">
        <v>2429</v>
      </c>
      <c r="C383" t="s">
        <v>2428</v>
      </c>
      <c r="D383">
        <v>164771410.40000001</v>
      </c>
      <c r="E383">
        <v>0</v>
      </c>
      <c r="F383">
        <v>306180520.69</v>
      </c>
      <c r="G383">
        <v>470951931.09000003</v>
      </c>
    </row>
    <row r="384" spans="1:7" x14ac:dyDescent="0.25">
      <c r="A384" t="s">
        <v>1865</v>
      </c>
      <c r="B384" t="s">
        <v>2430</v>
      </c>
      <c r="C384" t="s">
        <v>2428</v>
      </c>
      <c r="D384">
        <v>164771410.40000001</v>
      </c>
      <c r="E384">
        <v>0</v>
      </c>
      <c r="F384">
        <v>306180520.69</v>
      </c>
      <c r="G384">
        <v>470951931.09000003</v>
      </c>
    </row>
    <row r="385" spans="1:7" x14ac:dyDescent="0.25">
      <c r="A385" t="s">
        <v>1865</v>
      </c>
      <c r="B385" t="s">
        <v>2431</v>
      </c>
      <c r="C385" t="s">
        <v>2428</v>
      </c>
      <c r="D385">
        <v>164771410.40000001</v>
      </c>
      <c r="E385">
        <v>0</v>
      </c>
      <c r="F385">
        <v>306180520.69</v>
      </c>
      <c r="G385">
        <v>470951931.09000003</v>
      </c>
    </row>
    <row r="386" spans="1:7" x14ac:dyDescent="0.25">
      <c r="A386" t="s">
        <v>1865</v>
      </c>
      <c r="B386" t="s">
        <v>327</v>
      </c>
      <c r="C386" t="s">
        <v>2432</v>
      </c>
      <c r="D386">
        <v>-9133351431.039999</v>
      </c>
      <c r="E386">
        <v>11376413139.73</v>
      </c>
      <c r="F386">
        <v>22841829681.959999</v>
      </c>
      <c r="G386">
        <v>2332065111.1900005</v>
      </c>
    </row>
    <row r="387" spans="1:7" x14ac:dyDescent="0.25">
      <c r="A387" t="s">
        <v>1865</v>
      </c>
      <c r="B387" t="s">
        <v>330</v>
      </c>
      <c r="C387" t="s">
        <v>2433</v>
      </c>
      <c r="D387">
        <v>-7696471906.0599995</v>
      </c>
      <c r="E387">
        <v>11376413139.73</v>
      </c>
      <c r="F387">
        <v>21404950156.98</v>
      </c>
      <c r="G387">
        <v>2332065111.1900005</v>
      </c>
    </row>
    <row r="388" spans="1:7" x14ac:dyDescent="0.25">
      <c r="A388" t="s">
        <v>1865</v>
      </c>
      <c r="B388" t="s">
        <v>2434</v>
      </c>
      <c r="C388" t="s">
        <v>2435</v>
      </c>
      <c r="D388">
        <v>-9612870342.8299999</v>
      </c>
      <c r="E388">
        <v>11371741078.539999</v>
      </c>
      <c r="F388">
        <v>21388305114.07</v>
      </c>
      <c r="G388">
        <v>403693692.69999999</v>
      </c>
    </row>
    <row r="389" spans="1:7" x14ac:dyDescent="0.25">
      <c r="A389" t="s">
        <v>1865</v>
      </c>
      <c r="B389" t="s">
        <v>2436</v>
      </c>
      <c r="C389" t="s">
        <v>2435</v>
      </c>
      <c r="D389">
        <v>-9612870342.8299999</v>
      </c>
      <c r="E389">
        <v>11371741078.539999</v>
      </c>
      <c r="F389">
        <v>21388305114.07</v>
      </c>
      <c r="G389">
        <v>403693692.69999999</v>
      </c>
    </row>
    <row r="390" spans="1:7" x14ac:dyDescent="0.25">
      <c r="A390" t="s">
        <v>1865</v>
      </c>
      <c r="B390" t="s">
        <v>2437</v>
      </c>
      <c r="C390" t="s">
        <v>2435</v>
      </c>
      <c r="D390">
        <v>-9612870342.8299999</v>
      </c>
      <c r="E390">
        <v>11371741078.539999</v>
      </c>
      <c r="F390">
        <v>21388305114.07</v>
      </c>
      <c r="G390">
        <v>403693692.69999999</v>
      </c>
    </row>
    <row r="391" spans="1:7" x14ac:dyDescent="0.25">
      <c r="A391" t="s">
        <v>1865</v>
      </c>
      <c r="B391" t="s">
        <v>2438</v>
      </c>
      <c r="C391" t="s">
        <v>2435</v>
      </c>
      <c r="D391">
        <v>-9612870342.8299999</v>
      </c>
      <c r="E391">
        <v>11371741078.539999</v>
      </c>
      <c r="F391">
        <v>21388305114.07</v>
      </c>
      <c r="G391">
        <v>403693692.69999999</v>
      </c>
    </row>
    <row r="392" spans="1:7" x14ac:dyDescent="0.25">
      <c r="A392" t="s">
        <v>1865</v>
      </c>
      <c r="B392" t="s">
        <v>2439</v>
      </c>
      <c r="C392" t="s">
        <v>2440</v>
      </c>
      <c r="D392">
        <v>1916398436.77</v>
      </c>
      <c r="E392">
        <v>4672061.1900000004</v>
      </c>
      <c r="F392">
        <v>16645042.91</v>
      </c>
      <c r="G392">
        <v>1928371418.49</v>
      </c>
    </row>
    <row r="393" spans="1:7" x14ac:dyDescent="0.25">
      <c r="A393" t="s">
        <v>1865</v>
      </c>
      <c r="B393" t="s">
        <v>2441</v>
      </c>
      <c r="C393" t="s">
        <v>2442</v>
      </c>
      <c r="D393">
        <v>1916398436.77</v>
      </c>
      <c r="E393">
        <v>4672061.1900000004</v>
      </c>
      <c r="F393">
        <v>16645042.91</v>
      </c>
      <c r="G393">
        <v>1928371418.49</v>
      </c>
    </row>
    <row r="394" spans="1:7" x14ac:dyDescent="0.25">
      <c r="A394" t="s">
        <v>1865</v>
      </c>
      <c r="B394" t="s">
        <v>2443</v>
      </c>
      <c r="C394" t="s">
        <v>2444</v>
      </c>
      <c r="D394">
        <v>1916398436.77</v>
      </c>
      <c r="E394">
        <v>4672061.1900000004</v>
      </c>
      <c r="F394">
        <v>16645042.91</v>
      </c>
      <c r="G394">
        <v>1928371418.49</v>
      </c>
    </row>
    <row r="395" spans="1:7" x14ac:dyDescent="0.25">
      <c r="A395" t="s">
        <v>1865</v>
      </c>
      <c r="B395" t="s">
        <v>2445</v>
      </c>
      <c r="C395" t="s">
        <v>2435</v>
      </c>
      <c r="D395">
        <v>1916398436.77</v>
      </c>
      <c r="E395">
        <v>4672061.1900000004</v>
      </c>
      <c r="F395">
        <v>16645042.91</v>
      </c>
      <c r="G395">
        <v>1928371418.49</v>
      </c>
    </row>
    <row r="396" spans="1:7" x14ac:dyDescent="0.25">
      <c r="A396" t="s">
        <v>1865</v>
      </c>
      <c r="B396" t="s">
        <v>332</v>
      </c>
      <c r="C396" t="s">
        <v>2446</v>
      </c>
      <c r="D396">
        <v>-1436879524.98</v>
      </c>
      <c r="E396">
        <v>0</v>
      </c>
      <c r="F396">
        <v>1436879524.98</v>
      </c>
      <c r="G396">
        <v>0</v>
      </c>
    </row>
    <row r="397" spans="1:7" x14ac:dyDescent="0.25">
      <c r="A397" t="s">
        <v>1865</v>
      </c>
      <c r="B397" t="s">
        <v>2447</v>
      </c>
      <c r="C397" t="s">
        <v>2448</v>
      </c>
      <c r="D397">
        <v>-1436879524.98</v>
      </c>
      <c r="E397">
        <v>0</v>
      </c>
      <c r="F397">
        <v>1436879524.98</v>
      </c>
      <c r="G397">
        <v>0</v>
      </c>
    </row>
    <row r="398" spans="1:7" x14ac:dyDescent="0.25">
      <c r="A398" t="s">
        <v>1865</v>
      </c>
      <c r="B398" t="s">
        <v>2449</v>
      </c>
      <c r="C398" t="s">
        <v>2448</v>
      </c>
      <c r="D398">
        <v>-1436879524.98</v>
      </c>
      <c r="E398">
        <v>0</v>
      </c>
      <c r="F398">
        <v>1436879524.98</v>
      </c>
      <c r="G398">
        <v>0</v>
      </c>
    </row>
    <row r="399" spans="1:7" x14ac:dyDescent="0.25">
      <c r="A399" t="s">
        <v>1865</v>
      </c>
      <c r="B399" t="s">
        <v>2450</v>
      </c>
      <c r="C399" t="s">
        <v>2448</v>
      </c>
      <c r="D399">
        <v>-1436879524.98</v>
      </c>
      <c r="E399">
        <v>0</v>
      </c>
      <c r="F399">
        <v>1436879524.98</v>
      </c>
      <c r="G399">
        <v>0</v>
      </c>
    </row>
    <row r="400" spans="1:7" x14ac:dyDescent="0.25">
      <c r="A400" t="s">
        <v>1865</v>
      </c>
      <c r="B400" t="s">
        <v>2451</v>
      </c>
      <c r="C400" t="s">
        <v>2448</v>
      </c>
      <c r="D400">
        <v>-1436879524.98</v>
      </c>
      <c r="E400">
        <v>0</v>
      </c>
      <c r="F400">
        <v>1436879524.98</v>
      </c>
      <c r="G400">
        <v>0</v>
      </c>
    </row>
    <row r="401" spans="1:7" x14ac:dyDescent="0.25">
      <c r="A401" t="s">
        <v>1865</v>
      </c>
      <c r="B401" t="s">
        <v>2452</v>
      </c>
      <c r="C401" t="s">
        <v>2453</v>
      </c>
      <c r="D401">
        <v>0</v>
      </c>
      <c r="E401">
        <v>0</v>
      </c>
      <c r="F401">
        <v>0</v>
      </c>
      <c r="G401">
        <v>0</v>
      </c>
    </row>
    <row r="402" spans="1:7" x14ac:dyDescent="0.25">
      <c r="A402" t="s">
        <v>1865</v>
      </c>
      <c r="B402" t="s">
        <v>2454</v>
      </c>
      <c r="C402" t="s">
        <v>2453</v>
      </c>
      <c r="D402">
        <v>0</v>
      </c>
      <c r="E402">
        <v>0</v>
      </c>
      <c r="F402">
        <v>0</v>
      </c>
      <c r="G402">
        <v>0</v>
      </c>
    </row>
    <row r="403" spans="1:7" x14ac:dyDescent="0.25">
      <c r="A403" t="s">
        <v>1865</v>
      </c>
      <c r="B403" t="s">
        <v>2455</v>
      </c>
      <c r="C403" t="s">
        <v>2453</v>
      </c>
      <c r="D403">
        <v>0</v>
      </c>
      <c r="E403">
        <v>0</v>
      </c>
      <c r="F403">
        <v>0</v>
      </c>
      <c r="G403">
        <v>0</v>
      </c>
    </row>
    <row r="404" spans="1:7" x14ac:dyDescent="0.25">
      <c r="A404" t="s">
        <v>1865</v>
      </c>
      <c r="B404" t="s">
        <v>2456</v>
      </c>
      <c r="C404" t="s">
        <v>2453</v>
      </c>
      <c r="D404">
        <v>0</v>
      </c>
      <c r="E404">
        <v>0</v>
      </c>
      <c r="F404">
        <v>0</v>
      </c>
      <c r="G404">
        <v>0</v>
      </c>
    </row>
    <row r="405" spans="1:7" x14ac:dyDescent="0.25">
      <c r="A405" t="s">
        <v>1865</v>
      </c>
      <c r="B405" t="s">
        <v>376</v>
      </c>
      <c r="C405" t="s">
        <v>377</v>
      </c>
      <c r="D405">
        <v>0</v>
      </c>
      <c r="E405">
        <v>2.21</v>
      </c>
      <c r="F405">
        <v>2219376945.9700003</v>
      </c>
      <c r="G405">
        <v>2219376943.7600002</v>
      </c>
    </row>
    <row r="406" spans="1:7" x14ac:dyDescent="0.25">
      <c r="A406" t="s">
        <v>1865</v>
      </c>
      <c r="B406" t="s">
        <v>444</v>
      </c>
      <c r="C406" t="s">
        <v>2457</v>
      </c>
      <c r="D406">
        <v>0</v>
      </c>
      <c r="E406">
        <v>2.21</v>
      </c>
      <c r="F406">
        <v>64332.29</v>
      </c>
      <c r="G406">
        <v>64330.080000000002</v>
      </c>
    </row>
    <row r="407" spans="1:7" x14ac:dyDescent="0.25">
      <c r="A407" t="s">
        <v>1865</v>
      </c>
      <c r="B407" t="s">
        <v>446</v>
      </c>
      <c r="C407" t="s">
        <v>1852</v>
      </c>
      <c r="D407">
        <v>0</v>
      </c>
      <c r="E407">
        <v>2.21</v>
      </c>
      <c r="F407">
        <v>64332.29</v>
      </c>
      <c r="G407">
        <v>64330.080000000002</v>
      </c>
    </row>
    <row r="408" spans="1:7" x14ac:dyDescent="0.25">
      <c r="A408" t="s">
        <v>1865</v>
      </c>
      <c r="B408" t="s">
        <v>453</v>
      </c>
      <c r="C408" t="s">
        <v>2458</v>
      </c>
      <c r="D408">
        <v>0</v>
      </c>
      <c r="E408">
        <v>2.21</v>
      </c>
      <c r="F408">
        <v>64332.29</v>
      </c>
      <c r="G408">
        <v>64330.080000000002</v>
      </c>
    </row>
    <row r="409" spans="1:7" x14ac:dyDescent="0.25">
      <c r="A409" t="s">
        <v>1865</v>
      </c>
      <c r="B409" t="s">
        <v>2459</v>
      </c>
      <c r="C409" t="s">
        <v>2458</v>
      </c>
      <c r="D409">
        <v>0</v>
      </c>
      <c r="E409">
        <v>2.21</v>
      </c>
      <c r="F409">
        <v>64332.29</v>
      </c>
      <c r="G409">
        <v>64330.080000000002</v>
      </c>
    </row>
    <row r="410" spans="1:7" x14ac:dyDescent="0.25">
      <c r="A410" t="s">
        <v>1865</v>
      </c>
      <c r="B410" t="s">
        <v>2460</v>
      </c>
      <c r="C410" t="s">
        <v>2458</v>
      </c>
      <c r="D410">
        <v>0</v>
      </c>
      <c r="E410">
        <v>2.21</v>
      </c>
      <c r="F410">
        <v>64332.29</v>
      </c>
      <c r="G410">
        <v>64330.080000000002</v>
      </c>
    </row>
    <row r="411" spans="1:7" x14ac:dyDescent="0.25">
      <c r="A411" t="s">
        <v>1865</v>
      </c>
      <c r="B411" t="s">
        <v>2461</v>
      </c>
      <c r="C411" t="s">
        <v>2458</v>
      </c>
      <c r="D411">
        <v>0</v>
      </c>
      <c r="E411">
        <v>2.21</v>
      </c>
      <c r="F411">
        <v>64332.29</v>
      </c>
      <c r="G411">
        <v>64330.080000000002</v>
      </c>
    </row>
    <row r="412" spans="1:7" x14ac:dyDescent="0.25">
      <c r="A412" t="s">
        <v>1865</v>
      </c>
      <c r="B412" t="s">
        <v>2462</v>
      </c>
      <c r="C412" t="s">
        <v>2458</v>
      </c>
      <c r="D412">
        <v>0</v>
      </c>
      <c r="E412">
        <v>2.21</v>
      </c>
      <c r="F412">
        <v>64332.29</v>
      </c>
      <c r="G412">
        <v>64330.080000000002</v>
      </c>
    </row>
    <row r="413" spans="1:7" x14ac:dyDescent="0.25">
      <c r="A413" t="s">
        <v>1865</v>
      </c>
      <c r="B413" t="s">
        <v>462</v>
      </c>
      <c r="C413" t="s">
        <v>2463</v>
      </c>
      <c r="D413">
        <v>0</v>
      </c>
      <c r="E413">
        <v>0</v>
      </c>
      <c r="F413">
        <v>0</v>
      </c>
      <c r="G413">
        <v>0</v>
      </c>
    </row>
    <row r="414" spans="1:7" x14ac:dyDescent="0.25">
      <c r="A414" t="s">
        <v>1865</v>
      </c>
      <c r="B414" t="s">
        <v>464</v>
      </c>
      <c r="C414" t="s">
        <v>2464</v>
      </c>
      <c r="D414">
        <v>0</v>
      </c>
      <c r="E414">
        <v>0</v>
      </c>
      <c r="F414">
        <v>0</v>
      </c>
      <c r="G414">
        <v>0</v>
      </c>
    </row>
    <row r="415" spans="1:7" x14ac:dyDescent="0.25">
      <c r="A415" t="s">
        <v>1865</v>
      </c>
      <c r="B415" t="s">
        <v>469</v>
      </c>
      <c r="C415" t="s">
        <v>2465</v>
      </c>
      <c r="D415">
        <v>0</v>
      </c>
      <c r="E415">
        <v>0</v>
      </c>
      <c r="F415">
        <v>0</v>
      </c>
      <c r="G415">
        <v>0</v>
      </c>
    </row>
    <row r="416" spans="1:7" x14ac:dyDescent="0.25">
      <c r="A416" t="s">
        <v>1865</v>
      </c>
      <c r="B416" t="s">
        <v>2466</v>
      </c>
      <c r="C416" t="s">
        <v>2467</v>
      </c>
      <c r="D416">
        <v>0</v>
      </c>
      <c r="E416">
        <v>0</v>
      </c>
      <c r="F416">
        <v>0</v>
      </c>
      <c r="G416">
        <v>0</v>
      </c>
    </row>
    <row r="417" spans="1:7" x14ac:dyDescent="0.25">
      <c r="A417" t="s">
        <v>1865</v>
      </c>
      <c r="B417" t="s">
        <v>2468</v>
      </c>
      <c r="C417" t="s">
        <v>2467</v>
      </c>
      <c r="D417">
        <v>0</v>
      </c>
      <c r="E417">
        <v>0</v>
      </c>
      <c r="F417">
        <v>0</v>
      </c>
      <c r="G417">
        <v>0</v>
      </c>
    </row>
    <row r="418" spans="1:7" x14ac:dyDescent="0.25">
      <c r="A418" t="s">
        <v>1865</v>
      </c>
      <c r="B418" t="s">
        <v>2469</v>
      </c>
      <c r="C418" t="s">
        <v>2470</v>
      </c>
      <c r="D418">
        <v>0</v>
      </c>
      <c r="E418">
        <v>0</v>
      </c>
      <c r="F418">
        <v>0</v>
      </c>
      <c r="G418">
        <v>0</v>
      </c>
    </row>
    <row r="419" spans="1:7" x14ac:dyDescent="0.25">
      <c r="A419" t="s">
        <v>1865</v>
      </c>
      <c r="B419" t="s">
        <v>2471</v>
      </c>
      <c r="C419" t="s">
        <v>2470</v>
      </c>
      <c r="D419">
        <v>0</v>
      </c>
      <c r="E419">
        <v>0</v>
      </c>
      <c r="F419">
        <v>0</v>
      </c>
      <c r="G419">
        <v>0</v>
      </c>
    </row>
    <row r="420" spans="1:7" x14ac:dyDescent="0.25">
      <c r="A420" t="s">
        <v>1865</v>
      </c>
      <c r="B420" t="s">
        <v>520</v>
      </c>
      <c r="C420" t="s">
        <v>2472</v>
      </c>
      <c r="D420">
        <v>0</v>
      </c>
      <c r="E420">
        <v>0</v>
      </c>
      <c r="F420">
        <v>9.6999999999999993</v>
      </c>
      <c r="G420">
        <v>9.6999999999999993</v>
      </c>
    </row>
    <row r="421" spans="1:7" x14ac:dyDescent="0.25">
      <c r="A421" t="s">
        <v>1865</v>
      </c>
      <c r="B421" t="s">
        <v>522</v>
      </c>
      <c r="C421" t="s">
        <v>2473</v>
      </c>
      <c r="D421">
        <v>0</v>
      </c>
      <c r="E421">
        <v>0</v>
      </c>
      <c r="F421">
        <v>9.6999999999999993</v>
      </c>
      <c r="G421">
        <v>9.6999999999999993</v>
      </c>
    </row>
    <row r="422" spans="1:7" x14ac:dyDescent="0.25">
      <c r="A422" t="s">
        <v>1865</v>
      </c>
      <c r="B422" t="s">
        <v>525</v>
      </c>
      <c r="C422" t="s">
        <v>2474</v>
      </c>
      <c r="D422">
        <v>0</v>
      </c>
      <c r="E422">
        <v>0</v>
      </c>
      <c r="F422">
        <v>9.6999999999999993</v>
      </c>
      <c r="G422">
        <v>9.6999999999999993</v>
      </c>
    </row>
    <row r="423" spans="1:7" x14ac:dyDescent="0.25">
      <c r="A423" t="s">
        <v>1865</v>
      </c>
      <c r="B423" t="s">
        <v>2475</v>
      </c>
      <c r="C423" t="s">
        <v>2476</v>
      </c>
      <c r="D423">
        <v>0</v>
      </c>
      <c r="E423">
        <v>0</v>
      </c>
      <c r="F423">
        <v>9.6999999999999993</v>
      </c>
      <c r="G423">
        <v>9.6999999999999993</v>
      </c>
    </row>
    <row r="424" spans="1:7" x14ac:dyDescent="0.25">
      <c r="A424" t="s">
        <v>1865</v>
      </c>
      <c r="B424" t="s">
        <v>2477</v>
      </c>
      <c r="C424" t="s">
        <v>2478</v>
      </c>
      <c r="D424">
        <v>0</v>
      </c>
      <c r="E424">
        <v>0</v>
      </c>
      <c r="F424">
        <v>9.6999999999999993</v>
      </c>
      <c r="G424">
        <v>9.6999999999999993</v>
      </c>
    </row>
    <row r="425" spans="1:7" x14ac:dyDescent="0.25">
      <c r="A425" t="s">
        <v>1865</v>
      </c>
      <c r="B425" t="s">
        <v>2479</v>
      </c>
      <c r="C425" t="s">
        <v>2478</v>
      </c>
      <c r="D425">
        <v>0</v>
      </c>
      <c r="E425">
        <v>0</v>
      </c>
      <c r="F425">
        <v>9.6999999999999993</v>
      </c>
      <c r="G425">
        <v>9.6999999999999993</v>
      </c>
    </row>
    <row r="426" spans="1:7" x14ac:dyDescent="0.25">
      <c r="A426" t="s">
        <v>1865</v>
      </c>
      <c r="B426" t="s">
        <v>2480</v>
      </c>
      <c r="C426" t="s">
        <v>1876</v>
      </c>
      <c r="D426">
        <v>0</v>
      </c>
      <c r="E426">
        <v>0</v>
      </c>
      <c r="F426">
        <v>9.6999999999999993</v>
      </c>
      <c r="G426">
        <v>9.6999999999999993</v>
      </c>
    </row>
    <row r="427" spans="1:7" x14ac:dyDescent="0.25">
      <c r="A427" t="s">
        <v>1865</v>
      </c>
      <c r="B427" t="s">
        <v>555</v>
      </c>
      <c r="C427" t="s">
        <v>2481</v>
      </c>
      <c r="D427">
        <v>0</v>
      </c>
      <c r="E427">
        <v>0</v>
      </c>
      <c r="F427">
        <v>2046243697.8400002</v>
      </c>
      <c r="G427">
        <v>2046243697.8400002</v>
      </c>
    </row>
    <row r="428" spans="1:7" x14ac:dyDescent="0.25">
      <c r="A428" t="s">
        <v>1865</v>
      </c>
      <c r="B428" t="s">
        <v>557</v>
      </c>
      <c r="C428" t="s">
        <v>1830</v>
      </c>
      <c r="D428">
        <v>0</v>
      </c>
      <c r="E428">
        <v>0</v>
      </c>
      <c r="F428">
        <v>2046243697.8400002</v>
      </c>
      <c r="G428">
        <v>2046243697.8400002</v>
      </c>
    </row>
    <row r="429" spans="1:7" x14ac:dyDescent="0.25">
      <c r="A429" t="s">
        <v>1865</v>
      </c>
      <c r="B429" t="s">
        <v>562</v>
      </c>
      <c r="C429" t="s">
        <v>2482</v>
      </c>
      <c r="D429">
        <v>0</v>
      </c>
      <c r="E429">
        <v>0</v>
      </c>
      <c r="F429">
        <v>2046243697.8400002</v>
      </c>
      <c r="G429">
        <v>2046243697.8400002</v>
      </c>
    </row>
    <row r="430" spans="1:7" x14ac:dyDescent="0.25">
      <c r="A430" t="s">
        <v>1865</v>
      </c>
      <c r="B430" t="s">
        <v>2483</v>
      </c>
      <c r="C430" t="s">
        <v>2484</v>
      </c>
      <c r="D430">
        <v>0</v>
      </c>
      <c r="E430">
        <v>0</v>
      </c>
      <c r="F430">
        <v>2040223138.1800001</v>
      </c>
      <c r="G430">
        <v>2040223138.1800001</v>
      </c>
    </row>
    <row r="431" spans="1:7" x14ac:dyDescent="0.25">
      <c r="A431" t="s">
        <v>1865</v>
      </c>
      <c r="B431" t="s">
        <v>2485</v>
      </c>
      <c r="C431" t="s">
        <v>2484</v>
      </c>
      <c r="D431">
        <v>0</v>
      </c>
      <c r="E431">
        <v>0</v>
      </c>
      <c r="F431">
        <v>2040223138.1800001</v>
      </c>
      <c r="G431">
        <v>2040223138.1800001</v>
      </c>
    </row>
    <row r="432" spans="1:7" x14ac:dyDescent="0.25">
      <c r="A432" t="s">
        <v>1865</v>
      </c>
      <c r="B432" t="s">
        <v>2486</v>
      </c>
      <c r="C432" t="s">
        <v>2484</v>
      </c>
      <c r="D432">
        <v>0</v>
      </c>
      <c r="E432">
        <v>0</v>
      </c>
      <c r="F432">
        <v>2040223138.1800001</v>
      </c>
      <c r="G432">
        <v>2040223138.1800001</v>
      </c>
    </row>
    <row r="433" spans="1:7" x14ac:dyDescent="0.25">
      <c r="A433" t="s">
        <v>1865</v>
      </c>
      <c r="B433" t="s">
        <v>2487</v>
      </c>
      <c r="C433" t="s">
        <v>2365</v>
      </c>
      <c r="D433">
        <v>0</v>
      </c>
      <c r="E433">
        <v>0</v>
      </c>
      <c r="F433">
        <v>2040223138.1800001</v>
      </c>
      <c r="G433">
        <v>2040223138.1800001</v>
      </c>
    </row>
    <row r="434" spans="1:7" x14ac:dyDescent="0.25">
      <c r="A434" t="s">
        <v>1865</v>
      </c>
      <c r="B434" t="s">
        <v>2488</v>
      </c>
      <c r="C434" t="s">
        <v>2489</v>
      </c>
      <c r="D434">
        <v>0</v>
      </c>
      <c r="E434">
        <v>0</v>
      </c>
      <c r="F434">
        <v>6020559.6600000001</v>
      </c>
      <c r="G434">
        <v>6020559.6600000001</v>
      </c>
    </row>
    <row r="435" spans="1:7" x14ac:dyDescent="0.25">
      <c r="A435" t="s">
        <v>1865</v>
      </c>
      <c r="B435" t="s">
        <v>2490</v>
      </c>
      <c r="C435" t="s">
        <v>2489</v>
      </c>
      <c r="D435">
        <v>0</v>
      </c>
      <c r="E435">
        <v>0</v>
      </c>
      <c r="F435">
        <v>6020559.6600000001</v>
      </c>
      <c r="G435">
        <v>6020559.6600000001</v>
      </c>
    </row>
    <row r="436" spans="1:7" x14ac:dyDescent="0.25">
      <c r="A436" t="s">
        <v>1865</v>
      </c>
      <c r="B436" t="s">
        <v>2491</v>
      </c>
      <c r="C436" t="s">
        <v>2489</v>
      </c>
      <c r="D436">
        <v>0</v>
      </c>
      <c r="E436">
        <v>0</v>
      </c>
      <c r="F436">
        <v>6020559.6600000001</v>
      </c>
      <c r="G436">
        <v>6020559.6600000001</v>
      </c>
    </row>
    <row r="437" spans="1:7" x14ac:dyDescent="0.25">
      <c r="A437" t="s">
        <v>1865</v>
      </c>
      <c r="B437" t="s">
        <v>2492</v>
      </c>
      <c r="C437" t="s">
        <v>2493</v>
      </c>
      <c r="D437">
        <v>0</v>
      </c>
      <c r="E437">
        <v>0</v>
      </c>
      <c r="F437">
        <v>6020559.6600000001</v>
      </c>
      <c r="G437">
        <v>6020559.6600000001</v>
      </c>
    </row>
    <row r="438" spans="1:7" x14ac:dyDescent="0.25">
      <c r="A438" t="s">
        <v>1865</v>
      </c>
      <c r="B438" t="s">
        <v>574</v>
      </c>
      <c r="C438" t="s">
        <v>2494</v>
      </c>
      <c r="D438">
        <v>0</v>
      </c>
      <c r="E438">
        <v>0</v>
      </c>
      <c r="F438">
        <v>173068906.14000002</v>
      </c>
      <c r="G438">
        <v>173068906.14000002</v>
      </c>
    </row>
    <row r="439" spans="1:7" x14ac:dyDescent="0.25">
      <c r="A439" t="s">
        <v>1865</v>
      </c>
      <c r="B439" t="s">
        <v>576</v>
      </c>
      <c r="C439" t="s">
        <v>2495</v>
      </c>
      <c r="D439">
        <v>0</v>
      </c>
      <c r="E439">
        <v>0</v>
      </c>
      <c r="F439">
        <v>2766931.9</v>
      </c>
      <c r="G439">
        <v>2766931.9</v>
      </c>
    </row>
    <row r="440" spans="1:7" x14ac:dyDescent="0.25">
      <c r="A440" t="s">
        <v>1865</v>
      </c>
      <c r="B440" t="s">
        <v>579</v>
      </c>
      <c r="C440" t="s">
        <v>2496</v>
      </c>
      <c r="D440">
        <v>0</v>
      </c>
      <c r="E440">
        <v>0</v>
      </c>
      <c r="F440">
        <v>2766931.9</v>
      </c>
      <c r="G440">
        <v>2766931.9</v>
      </c>
    </row>
    <row r="441" spans="1:7" x14ac:dyDescent="0.25">
      <c r="A441" t="s">
        <v>1865</v>
      </c>
      <c r="B441" t="s">
        <v>2497</v>
      </c>
      <c r="C441" t="s">
        <v>2498</v>
      </c>
      <c r="D441">
        <v>0</v>
      </c>
      <c r="E441">
        <v>0</v>
      </c>
      <c r="F441">
        <v>2766931.9</v>
      </c>
      <c r="G441">
        <v>2766931.9</v>
      </c>
    </row>
    <row r="442" spans="1:7" x14ac:dyDescent="0.25">
      <c r="A442" t="s">
        <v>1865</v>
      </c>
      <c r="B442" t="s">
        <v>2499</v>
      </c>
      <c r="C442" t="s">
        <v>2500</v>
      </c>
      <c r="D442">
        <v>0</v>
      </c>
      <c r="E442">
        <v>0</v>
      </c>
      <c r="F442">
        <v>2766931.9</v>
      </c>
      <c r="G442">
        <v>2766931.9</v>
      </c>
    </row>
    <row r="443" spans="1:7" x14ac:dyDescent="0.25">
      <c r="A443" t="s">
        <v>1865</v>
      </c>
      <c r="B443" t="s">
        <v>2501</v>
      </c>
      <c r="C443" t="s">
        <v>2502</v>
      </c>
      <c r="D443">
        <v>0</v>
      </c>
      <c r="E443">
        <v>0</v>
      </c>
      <c r="F443">
        <v>2766931.9</v>
      </c>
      <c r="G443">
        <v>2766931.9</v>
      </c>
    </row>
    <row r="444" spans="1:7" x14ac:dyDescent="0.25">
      <c r="A444" t="s">
        <v>1865</v>
      </c>
      <c r="B444" t="s">
        <v>2503</v>
      </c>
      <c r="C444" t="s">
        <v>2504</v>
      </c>
      <c r="D444">
        <v>0</v>
      </c>
      <c r="E444">
        <v>0</v>
      </c>
      <c r="F444">
        <v>2766931.9</v>
      </c>
      <c r="G444">
        <v>2766931.9</v>
      </c>
    </row>
    <row r="445" spans="1:7" x14ac:dyDescent="0.25">
      <c r="A445" t="s">
        <v>1865</v>
      </c>
      <c r="B445" t="s">
        <v>611</v>
      </c>
      <c r="C445" t="s">
        <v>2505</v>
      </c>
      <c r="D445">
        <v>0</v>
      </c>
      <c r="E445">
        <v>0</v>
      </c>
      <c r="F445">
        <v>80490992.140000001</v>
      </c>
      <c r="G445">
        <v>80490992.140000001</v>
      </c>
    </row>
    <row r="446" spans="1:7" x14ac:dyDescent="0.25">
      <c r="A446" t="s">
        <v>1865</v>
      </c>
      <c r="B446" t="s">
        <v>616</v>
      </c>
      <c r="C446" t="s">
        <v>2506</v>
      </c>
      <c r="D446">
        <v>0</v>
      </c>
      <c r="E446">
        <v>0</v>
      </c>
      <c r="F446">
        <v>80490992.140000001</v>
      </c>
      <c r="G446">
        <v>80490992.140000001</v>
      </c>
    </row>
    <row r="447" spans="1:7" x14ac:dyDescent="0.25">
      <c r="A447" t="s">
        <v>1865</v>
      </c>
      <c r="B447" t="s">
        <v>2507</v>
      </c>
      <c r="C447" t="s">
        <v>2508</v>
      </c>
      <c r="D447">
        <v>0</v>
      </c>
      <c r="E447">
        <v>0</v>
      </c>
      <c r="F447">
        <v>80490992.140000001</v>
      </c>
      <c r="G447">
        <v>80490992.140000001</v>
      </c>
    </row>
    <row r="448" spans="1:7" x14ac:dyDescent="0.25">
      <c r="A448" t="s">
        <v>1865</v>
      </c>
      <c r="B448" t="s">
        <v>2509</v>
      </c>
      <c r="C448" t="s">
        <v>2508</v>
      </c>
      <c r="D448">
        <v>0</v>
      </c>
      <c r="E448">
        <v>0</v>
      </c>
      <c r="F448">
        <v>80490992.140000001</v>
      </c>
      <c r="G448">
        <v>80490992.140000001</v>
      </c>
    </row>
    <row r="449" spans="1:7" x14ac:dyDescent="0.25">
      <c r="A449" t="s">
        <v>1865</v>
      </c>
      <c r="B449" t="s">
        <v>2510</v>
      </c>
      <c r="C449" t="s">
        <v>2508</v>
      </c>
      <c r="D449">
        <v>0</v>
      </c>
      <c r="E449">
        <v>0</v>
      </c>
      <c r="F449">
        <v>80490992.140000001</v>
      </c>
      <c r="G449">
        <v>80490992.140000001</v>
      </c>
    </row>
    <row r="450" spans="1:7" x14ac:dyDescent="0.25">
      <c r="A450" t="s">
        <v>1865</v>
      </c>
      <c r="B450" t="s">
        <v>2511</v>
      </c>
      <c r="C450" t="s">
        <v>2508</v>
      </c>
      <c r="D450">
        <v>0</v>
      </c>
      <c r="E450">
        <v>0</v>
      </c>
      <c r="F450">
        <v>80490992.140000001</v>
      </c>
      <c r="G450">
        <v>80490992.140000001</v>
      </c>
    </row>
    <row r="451" spans="1:7" x14ac:dyDescent="0.25">
      <c r="A451" t="s">
        <v>1865</v>
      </c>
      <c r="B451" t="s">
        <v>631</v>
      </c>
      <c r="C451" t="s">
        <v>2512</v>
      </c>
      <c r="D451">
        <v>0</v>
      </c>
      <c r="E451">
        <v>0</v>
      </c>
      <c r="F451">
        <v>89651045.079999998</v>
      </c>
      <c r="G451">
        <v>89651045.079999998</v>
      </c>
    </row>
    <row r="452" spans="1:7" x14ac:dyDescent="0.25">
      <c r="A452" t="s">
        <v>1865</v>
      </c>
      <c r="B452" t="s">
        <v>634</v>
      </c>
      <c r="C452" t="s">
        <v>2513</v>
      </c>
      <c r="D452">
        <v>0</v>
      </c>
      <c r="E452">
        <v>0</v>
      </c>
      <c r="F452">
        <v>89651045.079999998</v>
      </c>
      <c r="G452">
        <v>89651045.079999998</v>
      </c>
    </row>
    <row r="453" spans="1:7" x14ac:dyDescent="0.25">
      <c r="A453" t="s">
        <v>1865</v>
      </c>
      <c r="B453" t="s">
        <v>2514</v>
      </c>
      <c r="C453" t="s">
        <v>2515</v>
      </c>
      <c r="D453">
        <v>0</v>
      </c>
      <c r="E453">
        <v>0</v>
      </c>
      <c r="F453">
        <v>89651045.079999998</v>
      </c>
      <c r="G453">
        <v>89651045.079999998</v>
      </c>
    </row>
    <row r="454" spans="1:7" x14ac:dyDescent="0.25">
      <c r="A454" t="s">
        <v>1865</v>
      </c>
      <c r="B454" t="s">
        <v>2516</v>
      </c>
      <c r="C454" t="s">
        <v>2517</v>
      </c>
      <c r="D454">
        <v>0</v>
      </c>
      <c r="E454">
        <v>0</v>
      </c>
      <c r="F454">
        <v>89651045.079999998</v>
      </c>
      <c r="G454">
        <v>89651045.079999998</v>
      </c>
    </row>
    <row r="455" spans="1:7" x14ac:dyDescent="0.25">
      <c r="A455" t="s">
        <v>1865</v>
      </c>
      <c r="B455" t="s">
        <v>2518</v>
      </c>
      <c r="C455" t="s">
        <v>2517</v>
      </c>
      <c r="D455">
        <v>0</v>
      </c>
      <c r="E455">
        <v>0</v>
      </c>
      <c r="F455">
        <v>89651045.079999998</v>
      </c>
      <c r="G455">
        <v>89651045.079999998</v>
      </c>
    </row>
    <row r="456" spans="1:7" x14ac:dyDescent="0.25">
      <c r="A456" t="s">
        <v>1865</v>
      </c>
      <c r="B456" t="s">
        <v>2519</v>
      </c>
      <c r="C456" t="s">
        <v>2517</v>
      </c>
      <c r="D456">
        <v>0</v>
      </c>
      <c r="E456">
        <v>0</v>
      </c>
      <c r="F456">
        <v>89651045.079999998</v>
      </c>
      <c r="G456">
        <v>89651045.079999998</v>
      </c>
    </row>
    <row r="457" spans="1:7" x14ac:dyDescent="0.25">
      <c r="A457" t="s">
        <v>1865</v>
      </c>
      <c r="B457" t="s">
        <v>638</v>
      </c>
      <c r="C457" t="s">
        <v>2520</v>
      </c>
      <c r="D457">
        <v>0</v>
      </c>
      <c r="E457">
        <v>0</v>
      </c>
      <c r="F457">
        <v>159937.01999999999</v>
      </c>
      <c r="G457">
        <v>159937.01999999999</v>
      </c>
    </row>
    <row r="458" spans="1:7" x14ac:dyDescent="0.25">
      <c r="A458" t="s">
        <v>1865</v>
      </c>
      <c r="B458" t="s">
        <v>641</v>
      </c>
      <c r="C458" t="s">
        <v>2521</v>
      </c>
      <c r="D458">
        <v>0</v>
      </c>
      <c r="E458">
        <v>0</v>
      </c>
      <c r="F458">
        <v>159937.01999999999</v>
      </c>
      <c r="G458">
        <v>159937.01999999999</v>
      </c>
    </row>
    <row r="459" spans="1:7" x14ac:dyDescent="0.25">
      <c r="A459" t="s">
        <v>1865</v>
      </c>
      <c r="B459" t="s">
        <v>2522</v>
      </c>
      <c r="C459" t="s">
        <v>2523</v>
      </c>
      <c r="D459">
        <v>0</v>
      </c>
      <c r="E459">
        <v>0</v>
      </c>
      <c r="F459">
        <v>159937.01999999999</v>
      </c>
      <c r="G459">
        <v>159937.01999999999</v>
      </c>
    </row>
    <row r="460" spans="1:7" x14ac:dyDescent="0.25">
      <c r="A460" t="s">
        <v>1865</v>
      </c>
      <c r="B460" t="s">
        <v>2524</v>
      </c>
      <c r="C460" t="s">
        <v>2523</v>
      </c>
      <c r="D460">
        <v>0</v>
      </c>
      <c r="E460">
        <v>0</v>
      </c>
      <c r="F460">
        <v>159937.01999999999</v>
      </c>
      <c r="G460">
        <v>159937.01999999999</v>
      </c>
    </row>
    <row r="461" spans="1:7" x14ac:dyDescent="0.25">
      <c r="A461" t="s">
        <v>1865</v>
      </c>
      <c r="B461" t="s">
        <v>2525</v>
      </c>
      <c r="C461" t="s">
        <v>2523</v>
      </c>
      <c r="D461">
        <v>0</v>
      </c>
      <c r="E461">
        <v>0</v>
      </c>
      <c r="F461">
        <v>159937.01999999999</v>
      </c>
      <c r="G461">
        <v>159937.01999999999</v>
      </c>
    </row>
    <row r="462" spans="1:7" x14ac:dyDescent="0.25">
      <c r="A462" t="s">
        <v>1865</v>
      </c>
      <c r="B462" t="s">
        <v>2526</v>
      </c>
      <c r="C462" t="s">
        <v>2523</v>
      </c>
      <c r="D462">
        <v>0</v>
      </c>
      <c r="E462">
        <v>0</v>
      </c>
      <c r="F462">
        <v>159937.01999999999</v>
      </c>
      <c r="G462">
        <v>159937.01999999999</v>
      </c>
    </row>
    <row r="463" spans="1:7" x14ac:dyDescent="0.25">
      <c r="A463" t="s">
        <v>1865</v>
      </c>
      <c r="B463" t="s">
        <v>644</v>
      </c>
      <c r="C463" t="s">
        <v>645</v>
      </c>
      <c r="D463">
        <v>0</v>
      </c>
      <c r="E463">
        <v>2426886246.5600004</v>
      </c>
      <c r="F463">
        <v>327482126.57999998</v>
      </c>
      <c r="G463">
        <v>2099404119.98</v>
      </c>
    </row>
    <row r="464" spans="1:7" x14ac:dyDescent="0.25">
      <c r="A464" t="s">
        <v>1865</v>
      </c>
      <c r="B464" t="s">
        <v>646</v>
      </c>
      <c r="C464" t="s">
        <v>2527</v>
      </c>
      <c r="D464">
        <v>0</v>
      </c>
      <c r="E464">
        <v>1258538391.9400001</v>
      </c>
      <c r="F464">
        <v>3063072.73</v>
      </c>
      <c r="G464">
        <v>1255475319.21</v>
      </c>
    </row>
    <row r="465" spans="1:7" x14ac:dyDescent="0.25">
      <c r="A465" t="s">
        <v>1865</v>
      </c>
      <c r="B465" t="s">
        <v>648</v>
      </c>
      <c r="C465" t="s">
        <v>2528</v>
      </c>
      <c r="D465">
        <v>0</v>
      </c>
      <c r="E465">
        <v>959366728.83999991</v>
      </c>
      <c r="F465">
        <v>2132610.73</v>
      </c>
      <c r="G465">
        <v>957234118.1099999</v>
      </c>
    </row>
    <row r="466" spans="1:7" x14ac:dyDescent="0.25">
      <c r="A466" t="s">
        <v>1865</v>
      </c>
      <c r="B466" t="s">
        <v>651</v>
      </c>
      <c r="C466" t="s">
        <v>2529</v>
      </c>
      <c r="D466">
        <v>0</v>
      </c>
      <c r="E466">
        <v>396267690.70999998</v>
      </c>
      <c r="F466">
        <v>2015975.22</v>
      </c>
      <c r="G466">
        <v>394251715.48999995</v>
      </c>
    </row>
    <row r="467" spans="1:7" x14ac:dyDescent="0.25">
      <c r="A467" t="s">
        <v>1865</v>
      </c>
      <c r="B467" t="s">
        <v>2530</v>
      </c>
      <c r="C467" t="s">
        <v>1749</v>
      </c>
      <c r="D467">
        <v>0</v>
      </c>
      <c r="E467">
        <v>338312904.92000002</v>
      </c>
      <c r="F467">
        <v>2015975.22</v>
      </c>
      <c r="G467">
        <v>336296929.69999999</v>
      </c>
    </row>
    <row r="468" spans="1:7" x14ac:dyDescent="0.25">
      <c r="A468" t="s">
        <v>1865</v>
      </c>
      <c r="B468" t="s">
        <v>2531</v>
      </c>
      <c r="C468" t="s">
        <v>1749</v>
      </c>
      <c r="D468">
        <v>0</v>
      </c>
      <c r="E468">
        <v>338312904.92000002</v>
      </c>
      <c r="F468">
        <v>2015975.22</v>
      </c>
      <c r="G468">
        <v>336296929.69999999</v>
      </c>
    </row>
    <row r="469" spans="1:7" x14ac:dyDescent="0.25">
      <c r="A469" t="s">
        <v>1865</v>
      </c>
      <c r="B469" t="s">
        <v>2532</v>
      </c>
      <c r="C469" t="s">
        <v>1749</v>
      </c>
      <c r="D469">
        <v>0</v>
      </c>
      <c r="E469">
        <v>338312904.92000002</v>
      </c>
      <c r="F469">
        <v>2015975.22</v>
      </c>
      <c r="G469">
        <v>336296929.69999999</v>
      </c>
    </row>
    <row r="470" spans="1:7" x14ac:dyDescent="0.25">
      <c r="A470" t="s">
        <v>1865</v>
      </c>
      <c r="B470" t="s">
        <v>2533</v>
      </c>
      <c r="C470" t="s">
        <v>1749</v>
      </c>
      <c r="D470">
        <v>0</v>
      </c>
      <c r="E470">
        <v>338312904.92000002</v>
      </c>
      <c r="F470">
        <v>2015975.22</v>
      </c>
      <c r="G470">
        <v>336296929.69999999</v>
      </c>
    </row>
    <row r="471" spans="1:7" x14ac:dyDescent="0.25">
      <c r="A471" t="s">
        <v>1865</v>
      </c>
      <c r="B471" t="s">
        <v>2534</v>
      </c>
      <c r="C471" t="s">
        <v>2535</v>
      </c>
      <c r="D471">
        <v>0</v>
      </c>
      <c r="E471">
        <v>57000</v>
      </c>
      <c r="F471">
        <v>0</v>
      </c>
      <c r="G471">
        <v>57000</v>
      </c>
    </row>
    <row r="472" spans="1:7" x14ac:dyDescent="0.25">
      <c r="A472" t="s">
        <v>1865</v>
      </c>
      <c r="B472" t="s">
        <v>2536</v>
      </c>
      <c r="C472" t="s">
        <v>2535</v>
      </c>
      <c r="D472">
        <v>0</v>
      </c>
      <c r="E472">
        <v>57000</v>
      </c>
      <c r="F472">
        <v>0</v>
      </c>
      <c r="G472">
        <v>57000</v>
      </c>
    </row>
    <row r="473" spans="1:7" x14ac:dyDescent="0.25">
      <c r="A473" t="s">
        <v>1865</v>
      </c>
      <c r="B473" t="s">
        <v>2537</v>
      </c>
      <c r="C473" t="s">
        <v>2535</v>
      </c>
      <c r="D473">
        <v>0</v>
      </c>
      <c r="E473">
        <v>57000</v>
      </c>
      <c r="F473">
        <v>0</v>
      </c>
      <c r="G473">
        <v>57000</v>
      </c>
    </row>
    <row r="474" spans="1:7" x14ac:dyDescent="0.25">
      <c r="A474" t="s">
        <v>1865</v>
      </c>
      <c r="B474" t="s">
        <v>2538</v>
      </c>
      <c r="C474" t="s">
        <v>2535</v>
      </c>
      <c r="D474">
        <v>0</v>
      </c>
      <c r="E474">
        <v>57000</v>
      </c>
      <c r="F474">
        <v>0</v>
      </c>
      <c r="G474">
        <v>57000</v>
      </c>
    </row>
    <row r="475" spans="1:7" x14ac:dyDescent="0.25">
      <c r="A475" t="s">
        <v>1865</v>
      </c>
      <c r="B475" t="s">
        <v>2539</v>
      </c>
      <c r="C475" t="s">
        <v>2540</v>
      </c>
      <c r="D475">
        <v>0</v>
      </c>
      <c r="E475">
        <v>52008358.270000003</v>
      </c>
      <c r="F475">
        <v>0</v>
      </c>
      <c r="G475">
        <v>52008358.270000003</v>
      </c>
    </row>
    <row r="476" spans="1:7" x14ac:dyDescent="0.25">
      <c r="A476" t="s">
        <v>1865</v>
      </c>
      <c r="B476" t="s">
        <v>2541</v>
      </c>
      <c r="C476" t="s">
        <v>2540</v>
      </c>
      <c r="D476">
        <v>0</v>
      </c>
      <c r="E476">
        <v>52008358.270000003</v>
      </c>
      <c r="F476">
        <v>0</v>
      </c>
      <c r="G476">
        <v>52008358.270000003</v>
      </c>
    </row>
    <row r="477" spans="1:7" x14ac:dyDescent="0.25">
      <c r="A477" t="s">
        <v>1865</v>
      </c>
      <c r="B477" t="s">
        <v>2542</v>
      </c>
      <c r="C477" t="s">
        <v>2540</v>
      </c>
      <c r="D477">
        <v>0</v>
      </c>
      <c r="E477">
        <v>52008358.270000003</v>
      </c>
      <c r="F477">
        <v>0</v>
      </c>
      <c r="G477">
        <v>52008358.270000003</v>
      </c>
    </row>
    <row r="478" spans="1:7" x14ac:dyDescent="0.25">
      <c r="A478" t="s">
        <v>1865</v>
      </c>
      <c r="B478" t="s">
        <v>2543</v>
      </c>
      <c r="C478" t="s">
        <v>2540</v>
      </c>
      <c r="D478">
        <v>0</v>
      </c>
      <c r="E478">
        <v>52008358.270000003</v>
      </c>
      <c r="F478">
        <v>0</v>
      </c>
      <c r="G478">
        <v>52008358.270000003</v>
      </c>
    </row>
    <row r="479" spans="1:7" x14ac:dyDescent="0.25">
      <c r="A479" t="s">
        <v>1865</v>
      </c>
      <c r="B479" t="s">
        <v>2544</v>
      </c>
      <c r="C479" t="s">
        <v>2545</v>
      </c>
      <c r="D479">
        <v>0</v>
      </c>
      <c r="E479">
        <v>5889427.5199999996</v>
      </c>
      <c r="F479">
        <v>0</v>
      </c>
      <c r="G479">
        <v>5889427.5199999996</v>
      </c>
    </row>
    <row r="480" spans="1:7" x14ac:dyDescent="0.25">
      <c r="A480" t="s">
        <v>1865</v>
      </c>
      <c r="B480" t="s">
        <v>2546</v>
      </c>
      <c r="C480" t="s">
        <v>2545</v>
      </c>
      <c r="D480">
        <v>0</v>
      </c>
      <c r="E480">
        <v>5889427.5199999996</v>
      </c>
      <c r="F480">
        <v>0</v>
      </c>
      <c r="G480">
        <v>5889427.5199999996</v>
      </c>
    </row>
    <row r="481" spans="1:7" x14ac:dyDescent="0.25">
      <c r="A481" t="s">
        <v>1865</v>
      </c>
      <c r="B481" t="s">
        <v>2547</v>
      </c>
      <c r="C481" t="s">
        <v>2545</v>
      </c>
      <c r="D481">
        <v>0</v>
      </c>
      <c r="E481">
        <v>5889427.5199999996</v>
      </c>
      <c r="F481">
        <v>0</v>
      </c>
      <c r="G481">
        <v>5889427.5199999996</v>
      </c>
    </row>
    <row r="482" spans="1:7" x14ac:dyDescent="0.25">
      <c r="A482" t="s">
        <v>1865</v>
      </c>
      <c r="B482" t="s">
        <v>2548</v>
      </c>
      <c r="C482" t="s">
        <v>2545</v>
      </c>
      <c r="D482">
        <v>0</v>
      </c>
      <c r="E482">
        <v>5889427.5199999996</v>
      </c>
      <c r="F482">
        <v>0</v>
      </c>
      <c r="G482">
        <v>5889427.5199999996</v>
      </c>
    </row>
    <row r="483" spans="1:7" x14ac:dyDescent="0.25">
      <c r="A483" t="s">
        <v>1865</v>
      </c>
      <c r="B483" t="s">
        <v>653</v>
      </c>
      <c r="C483" t="s">
        <v>2549</v>
      </c>
      <c r="D483">
        <v>0</v>
      </c>
      <c r="E483">
        <v>9319194.1600000001</v>
      </c>
      <c r="F483">
        <v>0</v>
      </c>
      <c r="G483">
        <v>9319194.1600000001</v>
      </c>
    </row>
    <row r="484" spans="1:7" x14ac:dyDescent="0.25">
      <c r="A484" t="s">
        <v>1865</v>
      </c>
      <c r="B484" t="s">
        <v>2550</v>
      </c>
      <c r="C484" t="s">
        <v>2551</v>
      </c>
      <c r="D484">
        <v>0</v>
      </c>
      <c r="E484">
        <v>2015975.22</v>
      </c>
      <c r="F484">
        <v>0</v>
      </c>
      <c r="G484">
        <v>2015975.22</v>
      </c>
    </row>
    <row r="485" spans="1:7" x14ac:dyDescent="0.25">
      <c r="A485" t="s">
        <v>1865</v>
      </c>
      <c r="B485" t="s">
        <v>2552</v>
      </c>
      <c r="C485" t="s">
        <v>2551</v>
      </c>
      <c r="D485">
        <v>0</v>
      </c>
      <c r="E485">
        <v>2015975.22</v>
      </c>
      <c r="F485">
        <v>0</v>
      </c>
      <c r="G485">
        <v>2015975.22</v>
      </c>
    </row>
    <row r="486" spans="1:7" x14ac:dyDescent="0.25">
      <c r="A486" t="s">
        <v>1865</v>
      </c>
      <c r="B486" t="s">
        <v>2553</v>
      </c>
      <c r="C486" t="s">
        <v>2551</v>
      </c>
      <c r="D486">
        <v>0</v>
      </c>
      <c r="E486">
        <v>2015975.22</v>
      </c>
      <c r="F486">
        <v>0</v>
      </c>
      <c r="G486">
        <v>2015975.22</v>
      </c>
    </row>
    <row r="487" spans="1:7" x14ac:dyDescent="0.25">
      <c r="A487" t="s">
        <v>1865</v>
      </c>
      <c r="B487" t="s">
        <v>2554</v>
      </c>
      <c r="C487" t="s">
        <v>2551</v>
      </c>
      <c r="D487">
        <v>0</v>
      </c>
      <c r="E487">
        <v>2015975.22</v>
      </c>
      <c r="F487">
        <v>0</v>
      </c>
      <c r="G487">
        <v>2015975.22</v>
      </c>
    </row>
    <row r="488" spans="1:7" x14ac:dyDescent="0.25">
      <c r="A488" t="s">
        <v>1865</v>
      </c>
      <c r="B488" t="s">
        <v>2555</v>
      </c>
      <c r="C488" t="s">
        <v>2556</v>
      </c>
      <c r="D488">
        <v>0</v>
      </c>
      <c r="E488">
        <v>339412.19</v>
      </c>
      <c r="F488">
        <v>0</v>
      </c>
      <c r="G488">
        <v>339412.19</v>
      </c>
    </row>
    <row r="489" spans="1:7" x14ac:dyDescent="0.25">
      <c r="A489" t="s">
        <v>1865</v>
      </c>
      <c r="B489" t="s">
        <v>2557</v>
      </c>
      <c r="C489" t="s">
        <v>2556</v>
      </c>
      <c r="D489">
        <v>0</v>
      </c>
      <c r="E489">
        <v>339412.19</v>
      </c>
      <c r="F489">
        <v>0</v>
      </c>
      <c r="G489">
        <v>339412.19</v>
      </c>
    </row>
    <row r="490" spans="1:7" x14ac:dyDescent="0.25">
      <c r="A490" t="s">
        <v>1865</v>
      </c>
      <c r="B490" t="s">
        <v>2558</v>
      </c>
      <c r="C490" t="s">
        <v>2556</v>
      </c>
      <c r="D490">
        <v>0</v>
      </c>
      <c r="E490">
        <v>339412.19</v>
      </c>
      <c r="F490">
        <v>0</v>
      </c>
      <c r="G490">
        <v>339412.19</v>
      </c>
    </row>
    <row r="491" spans="1:7" x14ac:dyDescent="0.25">
      <c r="A491" t="s">
        <v>1865</v>
      </c>
      <c r="B491" t="s">
        <v>2559</v>
      </c>
      <c r="C491" t="s">
        <v>2556</v>
      </c>
      <c r="D491">
        <v>0</v>
      </c>
      <c r="E491">
        <v>339412.19</v>
      </c>
      <c r="F491">
        <v>0</v>
      </c>
      <c r="G491">
        <v>339412.19</v>
      </c>
    </row>
    <row r="492" spans="1:7" x14ac:dyDescent="0.25">
      <c r="A492" t="s">
        <v>1865</v>
      </c>
      <c r="B492" t="s">
        <v>2560</v>
      </c>
      <c r="C492" t="s">
        <v>2561</v>
      </c>
      <c r="D492">
        <v>0</v>
      </c>
      <c r="E492">
        <v>6963806.75</v>
      </c>
      <c r="F492">
        <v>0</v>
      </c>
      <c r="G492">
        <v>6963806.75</v>
      </c>
    </row>
    <row r="493" spans="1:7" x14ac:dyDescent="0.25">
      <c r="A493" t="s">
        <v>1865</v>
      </c>
      <c r="B493" t="s">
        <v>2562</v>
      </c>
      <c r="C493" t="s">
        <v>2561</v>
      </c>
      <c r="D493">
        <v>0</v>
      </c>
      <c r="E493">
        <v>6963806.75</v>
      </c>
      <c r="F493">
        <v>0</v>
      </c>
      <c r="G493">
        <v>6963806.75</v>
      </c>
    </row>
    <row r="494" spans="1:7" x14ac:dyDescent="0.25">
      <c r="A494" t="s">
        <v>1865</v>
      </c>
      <c r="B494" t="s">
        <v>2563</v>
      </c>
      <c r="C494" t="s">
        <v>2561</v>
      </c>
      <c r="D494">
        <v>0</v>
      </c>
      <c r="E494">
        <v>6963806.75</v>
      </c>
      <c r="F494">
        <v>0</v>
      </c>
      <c r="G494">
        <v>6963806.75</v>
      </c>
    </row>
    <row r="495" spans="1:7" x14ac:dyDescent="0.25">
      <c r="A495" t="s">
        <v>1865</v>
      </c>
      <c r="B495" t="s">
        <v>2564</v>
      </c>
      <c r="C495" t="s">
        <v>2561</v>
      </c>
      <c r="D495">
        <v>0</v>
      </c>
      <c r="E495">
        <v>6963806.75</v>
      </c>
      <c r="F495">
        <v>0</v>
      </c>
      <c r="G495">
        <v>6963806.75</v>
      </c>
    </row>
    <row r="496" spans="1:7" x14ac:dyDescent="0.25">
      <c r="A496" t="s">
        <v>1865</v>
      </c>
      <c r="B496" t="s">
        <v>655</v>
      </c>
      <c r="C496" t="s">
        <v>2565</v>
      </c>
      <c r="D496">
        <v>0</v>
      </c>
      <c r="E496">
        <v>344381751.63</v>
      </c>
      <c r="F496">
        <v>116635.2</v>
      </c>
      <c r="G496">
        <v>344265116.43000001</v>
      </c>
    </row>
    <row r="497" spans="1:7" x14ac:dyDescent="0.25">
      <c r="A497" t="s">
        <v>1865</v>
      </c>
      <c r="B497" t="s">
        <v>2566</v>
      </c>
      <c r="C497" t="s">
        <v>2567</v>
      </c>
      <c r="D497">
        <v>0</v>
      </c>
      <c r="E497">
        <v>118693846.95</v>
      </c>
      <c r="F497">
        <v>0</v>
      </c>
      <c r="G497">
        <v>118693846.95</v>
      </c>
    </row>
    <row r="498" spans="1:7" x14ac:dyDescent="0.25">
      <c r="A498" t="s">
        <v>1865</v>
      </c>
      <c r="B498" t="s">
        <v>2568</v>
      </c>
      <c r="C498" t="s">
        <v>2567</v>
      </c>
      <c r="D498">
        <v>0</v>
      </c>
      <c r="E498">
        <v>118693846.95</v>
      </c>
      <c r="F498">
        <v>0</v>
      </c>
      <c r="G498">
        <v>118693846.95</v>
      </c>
    </row>
    <row r="499" spans="1:7" x14ac:dyDescent="0.25">
      <c r="A499" t="s">
        <v>1865</v>
      </c>
      <c r="B499" t="s">
        <v>2569</v>
      </c>
      <c r="C499" t="s">
        <v>2567</v>
      </c>
      <c r="D499">
        <v>0</v>
      </c>
      <c r="E499">
        <v>118693846.95</v>
      </c>
      <c r="F499">
        <v>0</v>
      </c>
      <c r="G499">
        <v>118693846.95</v>
      </c>
    </row>
    <row r="500" spans="1:7" x14ac:dyDescent="0.25">
      <c r="A500" t="s">
        <v>1865</v>
      </c>
      <c r="B500" t="s">
        <v>2570</v>
      </c>
      <c r="C500" t="s">
        <v>2567</v>
      </c>
      <c r="D500">
        <v>0</v>
      </c>
      <c r="E500">
        <v>118693846.95</v>
      </c>
      <c r="F500">
        <v>0</v>
      </c>
      <c r="G500">
        <v>118693846.95</v>
      </c>
    </row>
    <row r="501" spans="1:7" x14ac:dyDescent="0.25">
      <c r="A501" t="s">
        <v>1865</v>
      </c>
      <c r="B501" t="s">
        <v>2571</v>
      </c>
      <c r="C501" t="s">
        <v>2572</v>
      </c>
      <c r="D501">
        <v>0</v>
      </c>
      <c r="E501">
        <v>128405751.37</v>
      </c>
      <c r="F501">
        <v>0</v>
      </c>
      <c r="G501">
        <v>128405751.37</v>
      </c>
    </row>
    <row r="502" spans="1:7" x14ac:dyDescent="0.25">
      <c r="A502" t="s">
        <v>1865</v>
      </c>
      <c r="B502" t="s">
        <v>2573</v>
      </c>
      <c r="C502" t="s">
        <v>2572</v>
      </c>
      <c r="D502">
        <v>0</v>
      </c>
      <c r="E502">
        <v>128405751.37</v>
      </c>
      <c r="F502">
        <v>0</v>
      </c>
      <c r="G502">
        <v>128405751.37</v>
      </c>
    </row>
    <row r="503" spans="1:7" x14ac:dyDescent="0.25">
      <c r="A503" t="s">
        <v>1865</v>
      </c>
      <c r="B503" t="s">
        <v>2574</v>
      </c>
      <c r="C503" t="s">
        <v>2572</v>
      </c>
      <c r="D503">
        <v>0</v>
      </c>
      <c r="E503">
        <v>128405751.37</v>
      </c>
      <c r="F503">
        <v>0</v>
      </c>
      <c r="G503">
        <v>128405751.37</v>
      </c>
    </row>
    <row r="504" spans="1:7" x14ac:dyDescent="0.25">
      <c r="A504" t="s">
        <v>1865</v>
      </c>
      <c r="B504" t="s">
        <v>2575</v>
      </c>
      <c r="C504" t="s">
        <v>2572</v>
      </c>
      <c r="D504">
        <v>0</v>
      </c>
      <c r="E504">
        <v>128405751.37</v>
      </c>
      <c r="F504">
        <v>0</v>
      </c>
      <c r="G504">
        <v>128405751.37</v>
      </c>
    </row>
    <row r="505" spans="1:7" x14ac:dyDescent="0.25">
      <c r="A505" t="s">
        <v>1865</v>
      </c>
      <c r="B505" t="s">
        <v>2576</v>
      </c>
      <c r="C505" t="s">
        <v>2577</v>
      </c>
      <c r="D505">
        <v>0</v>
      </c>
      <c r="E505">
        <v>56171460.310000002</v>
      </c>
      <c r="F505">
        <v>0</v>
      </c>
      <c r="G505">
        <v>56171460.310000002</v>
      </c>
    </row>
    <row r="506" spans="1:7" x14ac:dyDescent="0.25">
      <c r="A506" t="s">
        <v>1865</v>
      </c>
      <c r="B506" t="s">
        <v>2578</v>
      </c>
      <c r="C506" t="s">
        <v>2577</v>
      </c>
      <c r="D506">
        <v>0</v>
      </c>
      <c r="E506">
        <v>56171460.310000002</v>
      </c>
      <c r="F506">
        <v>0</v>
      </c>
      <c r="G506">
        <v>56171460.310000002</v>
      </c>
    </row>
    <row r="507" spans="1:7" x14ac:dyDescent="0.25">
      <c r="A507" t="s">
        <v>1865</v>
      </c>
      <c r="B507" t="s">
        <v>2579</v>
      </c>
      <c r="C507" t="s">
        <v>2577</v>
      </c>
      <c r="D507">
        <v>0</v>
      </c>
      <c r="E507">
        <v>56171460.310000002</v>
      </c>
      <c r="F507">
        <v>0</v>
      </c>
      <c r="G507">
        <v>56171460.310000002</v>
      </c>
    </row>
    <row r="508" spans="1:7" x14ac:dyDescent="0.25">
      <c r="A508" t="s">
        <v>1865</v>
      </c>
      <c r="B508" t="s">
        <v>2580</v>
      </c>
      <c r="C508" t="s">
        <v>2577</v>
      </c>
      <c r="D508">
        <v>0</v>
      </c>
      <c r="E508">
        <v>56171460.310000002</v>
      </c>
      <c r="F508">
        <v>0</v>
      </c>
      <c r="G508">
        <v>56171460.310000002</v>
      </c>
    </row>
    <row r="509" spans="1:7" x14ac:dyDescent="0.25">
      <c r="A509" t="s">
        <v>1865</v>
      </c>
      <c r="B509" t="s">
        <v>2581</v>
      </c>
      <c r="C509" t="s">
        <v>2582</v>
      </c>
      <c r="D509">
        <v>0</v>
      </c>
      <c r="E509">
        <v>41110693</v>
      </c>
      <c r="F509">
        <v>116635.2</v>
      </c>
      <c r="G509">
        <v>40994057.799999997</v>
      </c>
    </row>
    <row r="510" spans="1:7" x14ac:dyDescent="0.25">
      <c r="A510" t="s">
        <v>1865</v>
      </c>
      <c r="B510" t="s">
        <v>2583</v>
      </c>
      <c r="C510" t="s">
        <v>2584</v>
      </c>
      <c r="D510">
        <v>0</v>
      </c>
      <c r="E510">
        <v>40047305.079999998</v>
      </c>
      <c r="F510">
        <v>116635.2</v>
      </c>
      <c r="G510">
        <v>39930669.879999995</v>
      </c>
    </row>
    <row r="511" spans="1:7" x14ac:dyDescent="0.25">
      <c r="A511" t="s">
        <v>1865</v>
      </c>
      <c r="B511" t="s">
        <v>2585</v>
      </c>
      <c r="C511" t="s">
        <v>2584</v>
      </c>
      <c r="D511">
        <v>0</v>
      </c>
      <c r="E511">
        <v>40047305.079999998</v>
      </c>
      <c r="F511">
        <v>116635.2</v>
      </c>
      <c r="G511">
        <v>39930669.879999995</v>
      </c>
    </row>
    <row r="512" spans="1:7" x14ac:dyDescent="0.25">
      <c r="A512" t="s">
        <v>1865</v>
      </c>
      <c r="B512" t="s">
        <v>2586</v>
      </c>
      <c r="C512" t="s">
        <v>2584</v>
      </c>
      <c r="D512">
        <v>0</v>
      </c>
      <c r="E512">
        <v>40047305.079999998</v>
      </c>
      <c r="F512">
        <v>116635.2</v>
      </c>
      <c r="G512">
        <v>39930669.879999995</v>
      </c>
    </row>
    <row r="513" spans="1:7" x14ac:dyDescent="0.25">
      <c r="A513" t="s">
        <v>1865</v>
      </c>
      <c r="B513" t="s">
        <v>2587</v>
      </c>
      <c r="C513" t="s">
        <v>2588</v>
      </c>
      <c r="D513">
        <v>0</v>
      </c>
      <c r="E513">
        <v>1063387.92</v>
      </c>
      <c r="F513">
        <v>0</v>
      </c>
      <c r="G513">
        <v>1063387.92</v>
      </c>
    </row>
    <row r="514" spans="1:7" x14ac:dyDescent="0.25">
      <c r="A514" t="s">
        <v>1865</v>
      </c>
      <c r="B514" t="s">
        <v>2589</v>
      </c>
      <c r="C514" t="s">
        <v>2588</v>
      </c>
      <c r="D514">
        <v>0</v>
      </c>
      <c r="E514">
        <v>1063387.92</v>
      </c>
      <c r="F514">
        <v>0</v>
      </c>
      <c r="G514">
        <v>1063387.92</v>
      </c>
    </row>
    <row r="515" spans="1:7" x14ac:dyDescent="0.25">
      <c r="A515" t="s">
        <v>1865</v>
      </c>
      <c r="B515" t="s">
        <v>2590</v>
      </c>
      <c r="C515" t="s">
        <v>2588</v>
      </c>
      <c r="D515">
        <v>0</v>
      </c>
      <c r="E515">
        <v>1063387.92</v>
      </c>
      <c r="F515">
        <v>0</v>
      </c>
      <c r="G515">
        <v>1063387.92</v>
      </c>
    </row>
    <row r="516" spans="1:7" x14ac:dyDescent="0.25">
      <c r="A516" t="s">
        <v>1865</v>
      </c>
      <c r="B516" t="s">
        <v>657</v>
      </c>
      <c r="C516" t="s">
        <v>2591</v>
      </c>
      <c r="D516">
        <v>0</v>
      </c>
      <c r="E516">
        <v>143962210.31999999</v>
      </c>
      <c r="F516">
        <v>0</v>
      </c>
      <c r="G516">
        <v>143962210.31999999</v>
      </c>
    </row>
    <row r="517" spans="1:7" x14ac:dyDescent="0.25">
      <c r="A517" t="s">
        <v>1865</v>
      </c>
      <c r="B517" t="s">
        <v>2592</v>
      </c>
      <c r="C517" t="s">
        <v>2593</v>
      </c>
      <c r="D517">
        <v>0</v>
      </c>
      <c r="E517">
        <v>96717224.459999993</v>
      </c>
      <c r="F517">
        <v>0</v>
      </c>
      <c r="G517">
        <v>96717224.459999993</v>
      </c>
    </row>
    <row r="518" spans="1:7" x14ac:dyDescent="0.25">
      <c r="A518" t="s">
        <v>1865</v>
      </c>
      <c r="B518" t="s">
        <v>2594</v>
      </c>
      <c r="C518" t="s">
        <v>2595</v>
      </c>
      <c r="D518">
        <v>0</v>
      </c>
      <c r="E518">
        <v>96717224.459999993</v>
      </c>
      <c r="F518">
        <v>0</v>
      </c>
      <c r="G518">
        <v>96717224.459999993</v>
      </c>
    </row>
    <row r="519" spans="1:7" x14ac:dyDescent="0.25">
      <c r="A519" t="s">
        <v>1865</v>
      </c>
      <c r="B519" t="s">
        <v>2596</v>
      </c>
      <c r="C519" t="s">
        <v>2597</v>
      </c>
      <c r="D519">
        <v>0</v>
      </c>
      <c r="E519">
        <v>96717224.459999993</v>
      </c>
      <c r="F519">
        <v>0</v>
      </c>
      <c r="G519">
        <v>96717224.459999993</v>
      </c>
    </row>
    <row r="520" spans="1:7" x14ac:dyDescent="0.25">
      <c r="A520" t="s">
        <v>1865</v>
      </c>
      <c r="B520" t="s">
        <v>2598</v>
      </c>
      <c r="C520" t="s">
        <v>2599</v>
      </c>
      <c r="D520">
        <v>0</v>
      </c>
      <c r="E520">
        <v>96717224.459999993</v>
      </c>
      <c r="F520">
        <v>0</v>
      </c>
      <c r="G520">
        <v>96717224.459999993</v>
      </c>
    </row>
    <row r="521" spans="1:7" x14ac:dyDescent="0.25">
      <c r="A521" t="s">
        <v>1865</v>
      </c>
      <c r="B521" t="s">
        <v>2600</v>
      </c>
      <c r="C521" t="s">
        <v>2601</v>
      </c>
      <c r="D521">
        <v>0</v>
      </c>
      <c r="E521">
        <v>10123925.4</v>
      </c>
      <c r="F521">
        <v>0</v>
      </c>
      <c r="G521">
        <v>10123925.4</v>
      </c>
    </row>
    <row r="522" spans="1:7" x14ac:dyDescent="0.25">
      <c r="A522" t="s">
        <v>1865</v>
      </c>
      <c r="B522" t="s">
        <v>2602</v>
      </c>
      <c r="C522" t="s">
        <v>2603</v>
      </c>
      <c r="D522">
        <v>0</v>
      </c>
      <c r="E522">
        <v>10123925.4</v>
      </c>
      <c r="F522">
        <v>0</v>
      </c>
      <c r="G522">
        <v>10123925.4</v>
      </c>
    </row>
    <row r="523" spans="1:7" x14ac:dyDescent="0.25">
      <c r="A523" t="s">
        <v>1865</v>
      </c>
      <c r="B523" t="s">
        <v>2604</v>
      </c>
      <c r="C523" t="s">
        <v>2605</v>
      </c>
      <c r="D523">
        <v>0</v>
      </c>
      <c r="E523">
        <v>10123925.4</v>
      </c>
      <c r="F523">
        <v>0</v>
      </c>
      <c r="G523">
        <v>10123925.4</v>
      </c>
    </row>
    <row r="524" spans="1:7" x14ac:dyDescent="0.25">
      <c r="A524" t="s">
        <v>1865</v>
      </c>
      <c r="B524" t="s">
        <v>2606</v>
      </c>
      <c r="C524" t="s">
        <v>2607</v>
      </c>
      <c r="D524">
        <v>0</v>
      </c>
      <c r="E524">
        <v>10123925.4</v>
      </c>
      <c r="F524">
        <v>0</v>
      </c>
      <c r="G524">
        <v>10123925.4</v>
      </c>
    </row>
    <row r="525" spans="1:7" x14ac:dyDescent="0.25">
      <c r="A525" t="s">
        <v>1865</v>
      </c>
      <c r="B525" t="s">
        <v>2608</v>
      </c>
      <c r="C525" t="s">
        <v>2609</v>
      </c>
      <c r="D525">
        <v>0</v>
      </c>
      <c r="E525">
        <v>3374642.38</v>
      </c>
      <c r="F525">
        <v>0</v>
      </c>
      <c r="G525">
        <v>3374642.38</v>
      </c>
    </row>
    <row r="526" spans="1:7" x14ac:dyDescent="0.25">
      <c r="A526" t="s">
        <v>1865</v>
      </c>
      <c r="B526" t="s">
        <v>2610</v>
      </c>
      <c r="C526" t="s">
        <v>2611</v>
      </c>
      <c r="D526">
        <v>0</v>
      </c>
      <c r="E526">
        <v>3374642.38</v>
      </c>
      <c r="F526">
        <v>0</v>
      </c>
      <c r="G526">
        <v>3374642.38</v>
      </c>
    </row>
    <row r="527" spans="1:7" x14ac:dyDescent="0.25">
      <c r="A527" t="s">
        <v>1865</v>
      </c>
      <c r="B527" t="s">
        <v>2612</v>
      </c>
      <c r="C527" t="s">
        <v>2613</v>
      </c>
      <c r="D527">
        <v>0</v>
      </c>
      <c r="E527">
        <v>3374642.38</v>
      </c>
      <c r="F527">
        <v>0</v>
      </c>
      <c r="G527">
        <v>3374642.38</v>
      </c>
    </row>
    <row r="528" spans="1:7" x14ac:dyDescent="0.25">
      <c r="A528" t="s">
        <v>1865</v>
      </c>
      <c r="B528" t="s">
        <v>2614</v>
      </c>
      <c r="C528" t="s">
        <v>2615</v>
      </c>
      <c r="D528">
        <v>0</v>
      </c>
      <c r="E528">
        <v>3374642.38</v>
      </c>
      <c r="F528">
        <v>0</v>
      </c>
      <c r="G528">
        <v>3374642.38</v>
      </c>
    </row>
    <row r="529" spans="1:7" x14ac:dyDescent="0.25">
      <c r="A529" t="s">
        <v>1865</v>
      </c>
      <c r="B529" t="s">
        <v>2616</v>
      </c>
      <c r="C529" t="s">
        <v>2617</v>
      </c>
      <c r="D529">
        <v>0</v>
      </c>
      <c r="E529">
        <v>33746418.079999998</v>
      </c>
      <c r="F529">
        <v>0</v>
      </c>
      <c r="G529">
        <v>33746418.079999998</v>
      </c>
    </row>
    <row r="530" spans="1:7" x14ac:dyDescent="0.25">
      <c r="A530" t="s">
        <v>1865</v>
      </c>
      <c r="B530" t="s">
        <v>2618</v>
      </c>
      <c r="C530" t="s">
        <v>2617</v>
      </c>
      <c r="D530">
        <v>0</v>
      </c>
      <c r="E530">
        <v>33746418.079999998</v>
      </c>
      <c r="F530">
        <v>0</v>
      </c>
      <c r="G530">
        <v>33746418.079999998</v>
      </c>
    </row>
    <row r="531" spans="1:7" x14ac:dyDescent="0.25">
      <c r="A531" t="s">
        <v>1865</v>
      </c>
      <c r="B531" t="s">
        <v>2619</v>
      </c>
      <c r="C531" t="s">
        <v>2617</v>
      </c>
      <c r="D531">
        <v>0</v>
      </c>
      <c r="E531">
        <v>33746418.079999998</v>
      </c>
      <c r="F531">
        <v>0</v>
      </c>
      <c r="G531">
        <v>33746418.079999998</v>
      </c>
    </row>
    <row r="532" spans="1:7" x14ac:dyDescent="0.25">
      <c r="A532" t="s">
        <v>1865</v>
      </c>
      <c r="B532" t="s">
        <v>2620</v>
      </c>
      <c r="C532" t="s">
        <v>2617</v>
      </c>
      <c r="D532">
        <v>0</v>
      </c>
      <c r="E532">
        <v>33746418.079999998</v>
      </c>
      <c r="F532">
        <v>0</v>
      </c>
      <c r="G532">
        <v>33746418.079999998</v>
      </c>
    </row>
    <row r="533" spans="1:7" x14ac:dyDescent="0.25">
      <c r="A533" t="s">
        <v>1865</v>
      </c>
      <c r="B533" t="s">
        <v>659</v>
      </c>
      <c r="C533" t="s">
        <v>2621</v>
      </c>
      <c r="D533">
        <v>0</v>
      </c>
      <c r="E533">
        <v>65435882.020000003</v>
      </c>
      <c r="F533">
        <v>0.31</v>
      </c>
      <c r="G533">
        <v>65435881.710000001</v>
      </c>
    </row>
    <row r="534" spans="1:7" x14ac:dyDescent="0.25">
      <c r="A534" t="s">
        <v>1865</v>
      </c>
      <c r="B534" t="s">
        <v>2622</v>
      </c>
      <c r="C534" t="s">
        <v>2623</v>
      </c>
      <c r="D534">
        <v>0</v>
      </c>
      <c r="E534">
        <v>10123925.4</v>
      </c>
      <c r="F534">
        <v>0.31</v>
      </c>
      <c r="G534">
        <v>10123925.09</v>
      </c>
    </row>
    <row r="535" spans="1:7" x14ac:dyDescent="0.25">
      <c r="A535" t="s">
        <v>1865</v>
      </c>
      <c r="B535" t="s">
        <v>2624</v>
      </c>
      <c r="C535" t="s">
        <v>2623</v>
      </c>
      <c r="D535">
        <v>0</v>
      </c>
      <c r="E535">
        <v>10123925.4</v>
      </c>
      <c r="F535">
        <v>0.31</v>
      </c>
      <c r="G535">
        <v>10123925.09</v>
      </c>
    </row>
    <row r="536" spans="1:7" x14ac:dyDescent="0.25">
      <c r="A536" t="s">
        <v>1865</v>
      </c>
      <c r="B536" t="s">
        <v>2625</v>
      </c>
      <c r="C536" t="s">
        <v>2623</v>
      </c>
      <c r="D536">
        <v>0</v>
      </c>
      <c r="E536">
        <v>10123925.4</v>
      </c>
      <c r="F536">
        <v>0.31</v>
      </c>
      <c r="G536">
        <v>10123925.09</v>
      </c>
    </row>
    <row r="537" spans="1:7" x14ac:dyDescent="0.25">
      <c r="A537" t="s">
        <v>1865</v>
      </c>
      <c r="B537" t="s">
        <v>2626</v>
      </c>
      <c r="C537" t="s">
        <v>2623</v>
      </c>
      <c r="D537">
        <v>0</v>
      </c>
      <c r="E537">
        <v>10123925.4</v>
      </c>
      <c r="F537">
        <v>0.31</v>
      </c>
      <c r="G537">
        <v>10123925.09</v>
      </c>
    </row>
    <row r="538" spans="1:7" x14ac:dyDescent="0.25">
      <c r="A538" t="s">
        <v>1865</v>
      </c>
      <c r="B538" t="s">
        <v>2627</v>
      </c>
      <c r="C538" t="s">
        <v>2628</v>
      </c>
      <c r="D538">
        <v>0</v>
      </c>
      <c r="E538">
        <v>20247852.27</v>
      </c>
      <c r="F538">
        <v>0</v>
      </c>
      <c r="G538">
        <v>20247852.27</v>
      </c>
    </row>
    <row r="539" spans="1:7" x14ac:dyDescent="0.25">
      <c r="A539" t="s">
        <v>1865</v>
      </c>
      <c r="B539" t="s">
        <v>2629</v>
      </c>
      <c r="C539" t="s">
        <v>2628</v>
      </c>
      <c r="D539">
        <v>0</v>
      </c>
      <c r="E539">
        <v>20247852.27</v>
      </c>
      <c r="F539">
        <v>0</v>
      </c>
      <c r="G539">
        <v>20247852.27</v>
      </c>
    </row>
    <row r="540" spans="1:7" x14ac:dyDescent="0.25">
      <c r="A540" t="s">
        <v>1865</v>
      </c>
      <c r="B540" t="s">
        <v>2630</v>
      </c>
      <c r="C540" t="s">
        <v>2631</v>
      </c>
      <c r="D540">
        <v>0</v>
      </c>
      <c r="E540">
        <v>20247852.27</v>
      </c>
      <c r="F540">
        <v>0</v>
      </c>
      <c r="G540">
        <v>20247852.27</v>
      </c>
    </row>
    <row r="541" spans="1:7" x14ac:dyDescent="0.25">
      <c r="A541" t="s">
        <v>1865</v>
      </c>
      <c r="B541" t="s">
        <v>2632</v>
      </c>
      <c r="C541" t="s">
        <v>2633</v>
      </c>
      <c r="D541">
        <v>0</v>
      </c>
      <c r="E541">
        <v>20247852.27</v>
      </c>
      <c r="F541">
        <v>0</v>
      </c>
      <c r="G541">
        <v>20247852.27</v>
      </c>
    </row>
    <row r="542" spans="1:7" x14ac:dyDescent="0.25">
      <c r="A542" t="s">
        <v>1865</v>
      </c>
      <c r="B542" t="s">
        <v>2634</v>
      </c>
      <c r="C542" t="s">
        <v>2635</v>
      </c>
      <c r="D542">
        <v>0</v>
      </c>
      <c r="E542">
        <v>35064104.350000001</v>
      </c>
      <c r="F542">
        <v>0</v>
      </c>
      <c r="G542">
        <v>35064104.350000001</v>
      </c>
    </row>
    <row r="543" spans="1:7" x14ac:dyDescent="0.25">
      <c r="A543" t="s">
        <v>1865</v>
      </c>
      <c r="B543" t="s">
        <v>2636</v>
      </c>
      <c r="C543" t="s">
        <v>2635</v>
      </c>
      <c r="D543">
        <v>0</v>
      </c>
      <c r="E543">
        <v>35064104.350000001</v>
      </c>
      <c r="F543">
        <v>0</v>
      </c>
      <c r="G543">
        <v>35064104.350000001</v>
      </c>
    </row>
    <row r="544" spans="1:7" x14ac:dyDescent="0.25">
      <c r="A544" t="s">
        <v>1865</v>
      </c>
      <c r="B544" t="s">
        <v>2630</v>
      </c>
      <c r="C544" t="s">
        <v>2635</v>
      </c>
      <c r="D544">
        <v>0</v>
      </c>
      <c r="E544">
        <v>35064104.350000001</v>
      </c>
      <c r="F544">
        <v>0</v>
      </c>
      <c r="G544">
        <v>35064104.350000001</v>
      </c>
    </row>
    <row r="545" spans="1:7" x14ac:dyDescent="0.25">
      <c r="A545" t="s">
        <v>1865</v>
      </c>
      <c r="B545" t="s">
        <v>2637</v>
      </c>
      <c r="C545" t="s">
        <v>2635</v>
      </c>
      <c r="D545">
        <v>0</v>
      </c>
      <c r="E545">
        <v>35064104.350000001</v>
      </c>
      <c r="F545">
        <v>0</v>
      </c>
      <c r="G545">
        <v>35064104.350000001</v>
      </c>
    </row>
    <row r="546" spans="1:7" x14ac:dyDescent="0.25">
      <c r="A546" t="s">
        <v>1865</v>
      </c>
      <c r="B546" t="s">
        <v>661</v>
      </c>
      <c r="C546" t="s">
        <v>2638</v>
      </c>
      <c r="D546">
        <v>0</v>
      </c>
      <c r="E546">
        <v>0</v>
      </c>
      <c r="F546">
        <v>0</v>
      </c>
      <c r="G546">
        <v>0</v>
      </c>
    </row>
    <row r="547" spans="1:7" x14ac:dyDescent="0.25">
      <c r="A547" t="s">
        <v>1865</v>
      </c>
      <c r="B547" t="s">
        <v>2639</v>
      </c>
      <c r="C547" t="s">
        <v>2640</v>
      </c>
      <c r="D547">
        <v>0</v>
      </c>
      <c r="E547">
        <v>0</v>
      </c>
      <c r="F547">
        <v>0</v>
      </c>
      <c r="G547">
        <v>0</v>
      </c>
    </row>
    <row r="548" spans="1:7" x14ac:dyDescent="0.25">
      <c r="A548" t="s">
        <v>1865</v>
      </c>
      <c r="B548" t="s">
        <v>2641</v>
      </c>
      <c r="C548" t="s">
        <v>2640</v>
      </c>
      <c r="D548">
        <v>0</v>
      </c>
      <c r="E548">
        <v>0</v>
      </c>
      <c r="F548">
        <v>0</v>
      </c>
      <c r="G548">
        <v>0</v>
      </c>
    </row>
    <row r="549" spans="1:7" x14ac:dyDescent="0.25">
      <c r="A549" t="s">
        <v>1865</v>
      </c>
      <c r="B549" t="s">
        <v>2642</v>
      </c>
      <c r="C549" t="s">
        <v>2640</v>
      </c>
      <c r="D549">
        <v>0</v>
      </c>
      <c r="E549">
        <v>0</v>
      </c>
      <c r="F549">
        <v>0</v>
      </c>
      <c r="G549">
        <v>0</v>
      </c>
    </row>
    <row r="550" spans="1:7" x14ac:dyDescent="0.25">
      <c r="A550" t="s">
        <v>1865</v>
      </c>
      <c r="B550" t="s">
        <v>2643</v>
      </c>
      <c r="C550" t="s">
        <v>2640</v>
      </c>
      <c r="D550">
        <v>0</v>
      </c>
      <c r="E550">
        <v>0</v>
      </c>
      <c r="F550">
        <v>0</v>
      </c>
      <c r="G550">
        <v>0</v>
      </c>
    </row>
    <row r="551" spans="1:7" x14ac:dyDescent="0.25">
      <c r="A551" t="s">
        <v>1865</v>
      </c>
      <c r="B551" t="s">
        <v>667</v>
      </c>
      <c r="C551" t="s">
        <v>2644</v>
      </c>
      <c r="D551">
        <v>0</v>
      </c>
      <c r="E551">
        <v>140129746.94999999</v>
      </c>
      <c r="F551">
        <v>722143</v>
      </c>
      <c r="G551">
        <v>139407603.94999999</v>
      </c>
    </row>
    <row r="552" spans="1:7" x14ac:dyDescent="0.25">
      <c r="A552" t="s">
        <v>1865</v>
      </c>
      <c r="B552" t="s">
        <v>670</v>
      </c>
      <c r="C552" t="s">
        <v>2645</v>
      </c>
      <c r="D552">
        <v>0</v>
      </c>
      <c r="E552">
        <v>144519.26999999999</v>
      </c>
      <c r="F552">
        <v>0</v>
      </c>
      <c r="G552">
        <v>144519.26999999999</v>
      </c>
    </row>
    <row r="553" spans="1:7" x14ac:dyDescent="0.25">
      <c r="A553" t="s">
        <v>1865</v>
      </c>
      <c r="B553" t="s">
        <v>2646</v>
      </c>
      <c r="C553" t="s">
        <v>2647</v>
      </c>
      <c r="D553">
        <v>0</v>
      </c>
      <c r="E553">
        <v>144519.26999999999</v>
      </c>
      <c r="F553">
        <v>0</v>
      </c>
      <c r="G553">
        <v>144519.26999999999</v>
      </c>
    </row>
    <row r="554" spans="1:7" x14ac:dyDescent="0.25">
      <c r="A554" t="s">
        <v>1865</v>
      </c>
      <c r="B554" t="s">
        <v>2648</v>
      </c>
      <c r="C554" t="s">
        <v>2647</v>
      </c>
      <c r="D554">
        <v>0</v>
      </c>
      <c r="E554">
        <v>144519.26999999999</v>
      </c>
      <c r="F554">
        <v>0</v>
      </c>
      <c r="G554">
        <v>144519.26999999999</v>
      </c>
    </row>
    <row r="555" spans="1:7" x14ac:dyDescent="0.25">
      <c r="A555" t="s">
        <v>1865</v>
      </c>
      <c r="B555" t="s">
        <v>2649</v>
      </c>
      <c r="C555" t="s">
        <v>2647</v>
      </c>
      <c r="D555">
        <v>0</v>
      </c>
      <c r="E555">
        <v>144519.26999999999</v>
      </c>
      <c r="F555">
        <v>0</v>
      </c>
      <c r="G555">
        <v>144519.26999999999</v>
      </c>
    </row>
    <row r="556" spans="1:7" x14ac:dyDescent="0.25">
      <c r="A556" t="s">
        <v>1865</v>
      </c>
      <c r="B556" t="s">
        <v>2650</v>
      </c>
      <c r="C556" t="s">
        <v>2647</v>
      </c>
      <c r="D556">
        <v>0</v>
      </c>
      <c r="E556">
        <v>144519.26999999999</v>
      </c>
      <c r="F556">
        <v>0</v>
      </c>
      <c r="G556">
        <v>144519.26999999999</v>
      </c>
    </row>
    <row r="557" spans="1:7" x14ac:dyDescent="0.25">
      <c r="A557" t="s">
        <v>1865</v>
      </c>
      <c r="B557" t="s">
        <v>671</v>
      </c>
      <c r="C557" t="s">
        <v>2651</v>
      </c>
      <c r="D557">
        <v>0</v>
      </c>
      <c r="E557">
        <v>16570231.960000001</v>
      </c>
      <c r="F557">
        <v>0</v>
      </c>
      <c r="G557">
        <v>16570231.960000001</v>
      </c>
    </row>
    <row r="558" spans="1:7" x14ac:dyDescent="0.25">
      <c r="A558" t="s">
        <v>1865</v>
      </c>
      <c r="B558" t="s">
        <v>2652</v>
      </c>
      <c r="C558" t="s">
        <v>2653</v>
      </c>
      <c r="D558">
        <v>0</v>
      </c>
      <c r="E558">
        <v>1517436</v>
      </c>
      <c r="F558">
        <v>0</v>
      </c>
      <c r="G558">
        <v>1517436</v>
      </c>
    </row>
    <row r="559" spans="1:7" x14ac:dyDescent="0.25">
      <c r="A559" t="s">
        <v>1865</v>
      </c>
      <c r="B559" t="s">
        <v>2654</v>
      </c>
      <c r="C559" t="s">
        <v>2653</v>
      </c>
      <c r="D559">
        <v>0</v>
      </c>
      <c r="E559">
        <v>1517436</v>
      </c>
      <c r="F559">
        <v>0</v>
      </c>
      <c r="G559">
        <v>1517436</v>
      </c>
    </row>
    <row r="560" spans="1:7" x14ac:dyDescent="0.25">
      <c r="A560" t="s">
        <v>1865</v>
      </c>
      <c r="B560" t="s">
        <v>2655</v>
      </c>
      <c r="C560" t="s">
        <v>2653</v>
      </c>
      <c r="D560">
        <v>0</v>
      </c>
      <c r="E560">
        <v>1517436</v>
      </c>
      <c r="F560">
        <v>0</v>
      </c>
      <c r="G560">
        <v>1517436</v>
      </c>
    </row>
    <row r="561" spans="1:7" x14ac:dyDescent="0.25">
      <c r="A561" t="s">
        <v>1865</v>
      </c>
      <c r="B561" t="s">
        <v>2656</v>
      </c>
      <c r="C561" t="s">
        <v>2653</v>
      </c>
      <c r="D561">
        <v>0</v>
      </c>
      <c r="E561">
        <v>1517436</v>
      </c>
      <c r="F561">
        <v>0</v>
      </c>
      <c r="G561">
        <v>1517436</v>
      </c>
    </row>
    <row r="562" spans="1:7" x14ac:dyDescent="0.25">
      <c r="A562" t="s">
        <v>1865</v>
      </c>
      <c r="B562" t="s">
        <v>2657</v>
      </c>
      <c r="C562" t="s">
        <v>2658</v>
      </c>
      <c r="D562">
        <v>0</v>
      </c>
      <c r="E562">
        <v>5563200</v>
      </c>
      <c r="F562">
        <v>0</v>
      </c>
      <c r="G562">
        <v>5563200</v>
      </c>
    </row>
    <row r="563" spans="1:7" x14ac:dyDescent="0.25">
      <c r="A563" t="s">
        <v>1865</v>
      </c>
      <c r="B563" t="s">
        <v>2659</v>
      </c>
      <c r="C563" t="s">
        <v>2658</v>
      </c>
      <c r="D563">
        <v>0</v>
      </c>
      <c r="E563">
        <v>5563200</v>
      </c>
      <c r="F563">
        <v>0</v>
      </c>
      <c r="G563">
        <v>5563200</v>
      </c>
    </row>
    <row r="564" spans="1:7" x14ac:dyDescent="0.25">
      <c r="A564" t="s">
        <v>1865</v>
      </c>
      <c r="B564" t="s">
        <v>2660</v>
      </c>
      <c r="C564" t="s">
        <v>2658</v>
      </c>
      <c r="D564">
        <v>0</v>
      </c>
      <c r="E564">
        <v>5563200</v>
      </c>
      <c r="F564">
        <v>0</v>
      </c>
      <c r="G564">
        <v>5563200</v>
      </c>
    </row>
    <row r="565" spans="1:7" x14ac:dyDescent="0.25">
      <c r="A565" t="s">
        <v>1865</v>
      </c>
      <c r="B565" t="s">
        <v>2661</v>
      </c>
      <c r="C565" t="s">
        <v>2658</v>
      </c>
      <c r="D565">
        <v>0</v>
      </c>
      <c r="E565">
        <v>5563200</v>
      </c>
      <c r="F565">
        <v>0</v>
      </c>
      <c r="G565">
        <v>5563200</v>
      </c>
    </row>
    <row r="566" spans="1:7" x14ac:dyDescent="0.25">
      <c r="A566" t="s">
        <v>1865</v>
      </c>
      <c r="B566" t="s">
        <v>2662</v>
      </c>
      <c r="C566" t="s">
        <v>2663</v>
      </c>
      <c r="D566">
        <v>0</v>
      </c>
      <c r="E566">
        <v>16400</v>
      </c>
      <c r="F566">
        <v>0</v>
      </c>
      <c r="G566">
        <v>16400</v>
      </c>
    </row>
    <row r="567" spans="1:7" x14ac:dyDescent="0.25">
      <c r="A567" t="s">
        <v>1865</v>
      </c>
      <c r="B567" t="s">
        <v>2664</v>
      </c>
      <c r="C567" t="s">
        <v>2663</v>
      </c>
      <c r="D567">
        <v>0</v>
      </c>
      <c r="E567">
        <v>16400</v>
      </c>
      <c r="F567">
        <v>0</v>
      </c>
      <c r="G567">
        <v>16400</v>
      </c>
    </row>
    <row r="568" spans="1:7" x14ac:dyDescent="0.25">
      <c r="A568" t="s">
        <v>1865</v>
      </c>
      <c r="B568" t="s">
        <v>2665</v>
      </c>
      <c r="C568" t="s">
        <v>2663</v>
      </c>
      <c r="D568">
        <v>0</v>
      </c>
      <c r="E568">
        <v>16400</v>
      </c>
      <c r="F568">
        <v>0</v>
      </c>
      <c r="G568">
        <v>16400</v>
      </c>
    </row>
    <row r="569" spans="1:7" x14ac:dyDescent="0.25">
      <c r="A569" t="s">
        <v>1865</v>
      </c>
      <c r="B569" t="s">
        <v>2666</v>
      </c>
      <c r="C569" t="s">
        <v>2663</v>
      </c>
      <c r="D569">
        <v>0</v>
      </c>
      <c r="E569">
        <v>16400</v>
      </c>
      <c r="F569">
        <v>0</v>
      </c>
      <c r="G569">
        <v>16400</v>
      </c>
    </row>
    <row r="570" spans="1:7" x14ac:dyDescent="0.25">
      <c r="A570" t="s">
        <v>1865</v>
      </c>
      <c r="B570" t="s">
        <v>2667</v>
      </c>
      <c r="C570" t="s">
        <v>2668</v>
      </c>
      <c r="D570">
        <v>0</v>
      </c>
      <c r="E570">
        <v>8563373.5600000005</v>
      </c>
      <c r="F570">
        <v>0</v>
      </c>
      <c r="G570">
        <v>8563373.5600000005</v>
      </c>
    </row>
    <row r="571" spans="1:7" x14ac:dyDescent="0.25">
      <c r="A571" t="s">
        <v>1865</v>
      </c>
      <c r="B571" t="s">
        <v>2669</v>
      </c>
      <c r="C571" t="s">
        <v>2668</v>
      </c>
      <c r="D571">
        <v>0</v>
      </c>
      <c r="E571">
        <v>8563373.5600000005</v>
      </c>
      <c r="F571">
        <v>0</v>
      </c>
      <c r="G571">
        <v>8563373.5600000005</v>
      </c>
    </row>
    <row r="572" spans="1:7" x14ac:dyDescent="0.25">
      <c r="A572" t="s">
        <v>1865</v>
      </c>
      <c r="B572" t="s">
        <v>2670</v>
      </c>
      <c r="C572" t="s">
        <v>2668</v>
      </c>
      <c r="D572">
        <v>0</v>
      </c>
      <c r="E572">
        <v>8563373.5600000005</v>
      </c>
      <c r="F572">
        <v>0</v>
      </c>
      <c r="G572">
        <v>8563373.5600000005</v>
      </c>
    </row>
    <row r="573" spans="1:7" x14ac:dyDescent="0.25">
      <c r="A573" t="s">
        <v>1865</v>
      </c>
      <c r="B573" t="s">
        <v>2671</v>
      </c>
      <c r="C573" t="s">
        <v>2668</v>
      </c>
      <c r="D573">
        <v>0</v>
      </c>
      <c r="E573">
        <v>8563373.5600000005</v>
      </c>
      <c r="F573">
        <v>0</v>
      </c>
      <c r="G573">
        <v>8563373.5600000005</v>
      </c>
    </row>
    <row r="574" spans="1:7" x14ac:dyDescent="0.25">
      <c r="A574" t="s">
        <v>1865</v>
      </c>
      <c r="B574" t="s">
        <v>2672</v>
      </c>
      <c r="C574" t="s">
        <v>2673</v>
      </c>
      <c r="D574">
        <v>0</v>
      </c>
      <c r="E574">
        <v>909822.4</v>
      </c>
      <c r="F574">
        <v>0</v>
      </c>
      <c r="G574">
        <v>909822.4</v>
      </c>
    </row>
    <row r="575" spans="1:7" x14ac:dyDescent="0.25">
      <c r="A575" t="s">
        <v>1865</v>
      </c>
      <c r="B575" t="s">
        <v>2674</v>
      </c>
      <c r="C575" t="s">
        <v>2673</v>
      </c>
      <c r="D575">
        <v>0</v>
      </c>
      <c r="E575">
        <v>909822.4</v>
      </c>
      <c r="F575">
        <v>0</v>
      </c>
      <c r="G575">
        <v>909822.4</v>
      </c>
    </row>
    <row r="576" spans="1:7" x14ac:dyDescent="0.25">
      <c r="A576" t="s">
        <v>1865</v>
      </c>
      <c r="B576" t="s">
        <v>2675</v>
      </c>
      <c r="C576" t="s">
        <v>2673</v>
      </c>
      <c r="D576">
        <v>0</v>
      </c>
      <c r="E576">
        <v>909822.4</v>
      </c>
      <c r="F576">
        <v>0</v>
      </c>
      <c r="G576">
        <v>909822.4</v>
      </c>
    </row>
    <row r="577" spans="1:7" x14ac:dyDescent="0.25">
      <c r="A577" t="s">
        <v>1865</v>
      </c>
      <c r="B577" t="s">
        <v>2676</v>
      </c>
      <c r="C577" t="s">
        <v>2673</v>
      </c>
      <c r="D577">
        <v>0</v>
      </c>
      <c r="E577">
        <v>909822.4</v>
      </c>
      <c r="F577">
        <v>0</v>
      </c>
      <c r="G577">
        <v>909822.4</v>
      </c>
    </row>
    <row r="578" spans="1:7" x14ac:dyDescent="0.25">
      <c r="A578" t="s">
        <v>1865</v>
      </c>
      <c r="B578" t="s">
        <v>673</v>
      </c>
      <c r="C578" t="s">
        <v>2677</v>
      </c>
      <c r="D578">
        <v>0</v>
      </c>
      <c r="E578">
        <v>2535421.5699999998</v>
      </c>
      <c r="F578">
        <v>13508</v>
      </c>
      <c r="G578">
        <v>2521913.5699999998</v>
      </c>
    </row>
    <row r="579" spans="1:7" x14ac:dyDescent="0.25">
      <c r="A579" t="s">
        <v>1865</v>
      </c>
      <c r="B579" t="s">
        <v>2678</v>
      </c>
      <c r="C579" t="s">
        <v>2679</v>
      </c>
      <c r="D579">
        <v>0</v>
      </c>
      <c r="E579">
        <v>13508</v>
      </c>
      <c r="F579">
        <v>13508</v>
      </c>
      <c r="G579">
        <v>0</v>
      </c>
    </row>
    <row r="580" spans="1:7" x14ac:dyDescent="0.25">
      <c r="A580" t="s">
        <v>1865</v>
      </c>
      <c r="B580" t="s">
        <v>2680</v>
      </c>
      <c r="C580" t="s">
        <v>2679</v>
      </c>
      <c r="D580">
        <v>0</v>
      </c>
      <c r="E580">
        <v>13508</v>
      </c>
      <c r="F580">
        <v>13508</v>
      </c>
      <c r="G580">
        <v>0</v>
      </c>
    </row>
    <row r="581" spans="1:7" x14ac:dyDescent="0.25">
      <c r="A581" t="s">
        <v>1865</v>
      </c>
      <c r="B581" t="s">
        <v>2681</v>
      </c>
      <c r="C581" t="s">
        <v>2679</v>
      </c>
      <c r="D581">
        <v>0</v>
      </c>
      <c r="E581">
        <v>13508</v>
      </c>
      <c r="F581">
        <v>13508</v>
      </c>
      <c r="G581">
        <v>0</v>
      </c>
    </row>
    <row r="582" spans="1:7" x14ac:dyDescent="0.25">
      <c r="A582" t="s">
        <v>1865</v>
      </c>
      <c r="B582" t="s">
        <v>2682</v>
      </c>
      <c r="C582" t="s">
        <v>2679</v>
      </c>
      <c r="D582">
        <v>0</v>
      </c>
      <c r="E582">
        <v>13508</v>
      </c>
      <c r="F582">
        <v>13508</v>
      </c>
      <c r="G582">
        <v>0</v>
      </c>
    </row>
    <row r="583" spans="1:7" x14ac:dyDescent="0.25">
      <c r="A583" t="s">
        <v>1865</v>
      </c>
      <c r="B583" t="s">
        <v>2683</v>
      </c>
      <c r="C583" t="s">
        <v>2684</v>
      </c>
      <c r="D583">
        <v>0</v>
      </c>
      <c r="E583">
        <v>0</v>
      </c>
      <c r="F583">
        <v>0</v>
      </c>
      <c r="G583">
        <v>0</v>
      </c>
    </row>
    <row r="584" spans="1:7" x14ac:dyDescent="0.25">
      <c r="A584" t="s">
        <v>1865</v>
      </c>
      <c r="B584" t="s">
        <v>2685</v>
      </c>
      <c r="C584" t="s">
        <v>2684</v>
      </c>
      <c r="D584">
        <v>0</v>
      </c>
      <c r="E584">
        <v>0</v>
      </c>
      <c r="F584">
        <v>0</v>
      </c>
      <c r="G584">
        <v>0</v>
      </c>
    </row>
    <row r="585" spans="1:7" x14ac:dyDescent="0.25">
      <c r="A585" t="s">
        <v>1865</v>
      </c>
      <c r="B585" t="s">
        <v>2686</v>
      </c>
      <c r="C585" t="s">
        <v>2684</v>
      </c>
      <c r="D585">
        <v>0</v>
      </c>
      <c r="E585">
        <v>0</v>
      </c>
      <c r="F585">
        <v>0</v>
      </c>
      <c r="G585">
        <v>0</v>
      </c>
    </row>
    <row r="586" spans="1:7" x14ac:dyDescent="0.25">
      <c r="A586" t="s">
        <v>1865</v>
      </c>
      <c r="B586" t="s">
        <v>2687</v>
      </c>
      <c r="C586" t="s">
        <v>2684</v>
      </c>
      <c r="D586">
        <v>0</v>
      </c>
      <c r="E586">
        <v>0</v>
      </c>
      <c r="F586">
        <v>0</v>
      </c>
      <c r="G586">
        <v>0</v>
      </c>
    </row>
    <row r="587" spans="1:7" x14ac:dyDescent="0.25">
      <c r="A587" t="s">
        <v>1865</v>
      </c>
      <c r="B587" t="s">
        <v>2688</v>
      </c>
      <c r="C587" t="s">
        <v>2689</v>
      </c>
      <c r="D587">
        <v>0</v>
      </c>
      <c r="E587">
        <v>97999.41</v>
      </c>
      <c r="F587">
        <v>0</v>
      </c>
      <c r="G587">
        <v>97999.41</v>
      </c>
    </row>
    <row r="588" spans="1:7" x14ac:dyDescent="0.25">
      <c r="A588" t="s">
        <v>1865</v>
      </c>
      <c r="B588" t="s">
        <v>2690</v>
      </c>
      <c r="C588" t="s">
        <v>2689</v>
      </c>
      <c r="D588">
        <v>0</v>
      </c>
      <c r="E588">
        <v>97999.41</v>
      </c>
      <c r="F588">
        <v>0</v>
      </c>
      <c r="G588">
        <v>97999.41</v>
      </c>
    </row>
    <row r="589" spans="1:7" x14ac:dyDescent="0.25">
      <c r="A589" t="s">
        <v>1865</v>
      </c>
      <c r="B589" t="s">
        <v>2691</v>
      </c>
      <c r="C589" t="s">
        <v>2689</v>
      </c>
      <c r="D589">
        <v>0</v>
      </c>
      <c r="E589">
        <v>97999.41</v>
      </c>
      <c r="F589">
        <v>0</v>
      </c>
      <c r="G589">
        <v>97999.41</v>
      </c>
    </row>
    <row r="590" spans="1:7" x14ac:dyDescent="0.25">
      <c r="A590" t="s">
        <v>1865</v>
      </c>
      <c r="B590" t="s">
        <v>2692</v>
      </c>
      <c r="C590" t="s">
        <v>2689</v>
      </c>
      <c r="D590">
        <v>0</v>
      </c>
      <c r="E590">
        <v>97999.41</v>
      </c>
      <c r="F590">
        <v>0</v>
      </c>
      <c r="G590">
        <v>97999.41</v>
      </c>
    </row>
    <row r="591" spans="1:7" x14ac:dyDescent="0.25">
      <c r="A591" t="s">
        <v>1865</v>
      </c>
      <c r="B591" t="s">
        <v>2693</v>
      </c>
      <c r="C591" t="s">
        <v>2694</v>
      </c>
      <c r="D591">
        <v>0</v>
      </c>
      <c r="E591">
        <v>2377324.0499999998</v>
      </c>
      <c r="F591">
        <v>0</v>
      </c>
      <c r="G591">
        <v>2377324.0499999998</v>
      </c>
    </row>
    <row r="592" spans="1:7" x14ac:dyDescent="0.25">
      <c r="A592" t="s">
        <v>1865</v>
      </c>
      <c r="B592" t="s">
        <v>2695</v>
      </c>
      <c r="C592" t="s">
        <v>2694</v>
      </c>
      <c r="D592">
        <v>0</v>
      </c>
      <c r="E592">
        <v>2377324.0499999998</v>
      </c>
      <c r="F592">
        <v>0</v>
      </c>
      <c r="G592">
        <v>2377324.0499999998</v>
      </c>
    </row>
    <row r="593" spans="1:7" x14ac:dyDescent="0.25">
      <c r="A593" t="s">
        <v>1865</v>
      </c>
      <c r="B593" t="s">
        <v>2696</v>
      </c>
      <c r="C593" t="s">
        <v>2694</v>
      </c>
      <c r="D593">
        <v>0</v>
      </c>
      <c r="E593">
        <v>2377324.0499999998</v>
      </c>
      <c r="F593">
        <v>0</v>
      </c>
      <c r="G593">
        <v>2377324.0499999998</v>
      </c>
    </row>
    <row r="594" spans="1:7" x14ac:dyDescent="0.25">
      <c r="A594" t="s">
        <v>1865</v>
      </c>
      <c r="B594" t="s">
        <v>2697</v>
      </c>
      <c r="C594" t="s">
        <v>2694</v>
      </c>
      <c r="D594">
        <v>0</v>
      </c>
      <c r="E594">
        <v>2377324.0499999998</v>
      </c>
      <c r="F594">
        <v>0</v>
      </c>
      <c r="G594">
        <v>2377324.0499999998</v>
      </c>
    </row>
    <row r="595" spans="1:7" x14ac:dyDescent="0.25">
      <c r="A595" t="s">
        <v>1865</v>
      </c>
      <c r="B595" t="s">
        <v>2698</v>
      </c>
      <c r="C595" t="s">
        <v>2699</v>
      </c>
      <c r="D595">
        <v>0</v>
      </c>
      <c r="E595">
        <v>46590.11</v>
      </c>
      <c r="F595">
        <v>0</v>
      </c>
      <c r="G595">
        <v>46590.11</v>
      </c>
    </row>
    <row r="596" spans="1:7" x14ac:dyDescent="0.25">
      <c r="A596" t="s">
        <v>1865</v>
      </c>
      <c r="B596" t="s">
        <v>2700</v>
      </c>
      <c r="C596" t="s">
        <v>2699</v>
      </c>
      <c r="D596">
        <v>0</v>
      </c>
      <c r="E596">
        <v>46590.11</v>
      </c>
      <c r="F596">
        <v>0</v>
      </c>
      <c r="G596">
        <v>46590.11</v>
      </c>
    </row>
    <row r="597" spans="1:7" x14ac:dyDescent="0.25">
      <c r="A597" t="s">
        <v>1865</v>
      </c>
      <c r="B597" t="s">
        <v>2701</v>
      </c>
      <c r="C597" t="s">
        <v>2699</v>
      </c>
      <c r="D597">
        <v>0</v>
      </c>
      <c r="E597">
        <v>46590.11</v>
      </c>
      <c r="F597">
        <v>0</v>
      </c>
      <c r="G597">
        <v>46590.11</v>
      </c>
    </row>
    <row r="598" spans="1:7" x14ac:dyDescent="0.25">
      <c r="A598" t="s">
        <v>1865</v>
      </c>
      <c r="B598" t="s">
        <v>2702</v>
      </c>
      <c r="C598" t="s">
        <v>2699</v>
      </c>
      <c r="D598">
        <v>0</v>
      </c>
      <c r="E598">
        <v>46590.11</v>
      </c>
      <c r="F598">
        <v>0</v>
      </c>
      <c r="G598">
        <v>46590.11</v>
      </c>
    </row>
    <row r="599" spans="1:7" x14ac:dyDescent="0.25">
      <c r="A599" t="s">
        <v>1865</v>
      </c>
      <c r="B599" t="s">
        <v>675</v>
      </c>
      <c r="C599" t="s">
        <v>2703</v>
      </c>
      <c r="D599">
        <v>0</v>
      </c>
      <c r="E599">
        <v>84427861.090000004</v>
      </c>
      <c r="F599">
        <v>0</v>
      </c>
      <c r="G599">
        <v>84427861.090000004</v>
      </c>
    </row>
    <row r="600" spans="1:7" x14ac:dyDescent="0.25">
      <c r="A600" t="s">
        <v>1865</v>
      </c>
      <c r="B600" t="s">
        <v>2704</v>
      </c>
      <c r="C600" t="s">
        <v>2705</v>
      </c>
      <c r="D600">
        <v>0</v>
      </c>
      <c r="E600">
        <v>992778.4</v>
      </c>
      <c r="F600">
        <v>0</v>
      </c>
      <c r="G600">
        <v>992778.4</v>
      </c>
    </row>
    <row r="601" spans="1:7" x14ac:dyDescent="0.25">
      <c r="A601" t="s">
        <v>1865</v>
      </c>
      <c r="B601" t="s">
        <v>2706</v>
      </c>
      <c r="C601" t="s">
        <v>2705</v>
      </c>
      <c r="D601">
        <v>0</v>
      </c>
      <c r="E601">
        <v>992778.4</v>
      </c>
      <c r="F601">
        <v>0</v>
      </c>
      <c r="G601">
        <v>992778.4</v>
      </c>
    </row>
    <row r="602" spans="1:7" x14ac:dyDescent="0.25">
      <c r="A602" t="s">
        <v>1865</v>
      </c>
      <c r="B602" t="s">
        <v>2707</v>
      </c>
      <c r="C602" t="s">
        <v>2705</v>
      </c>
      <c r="D602">
        <v>0</v>
      </c>
      <c r="E602">
        <v>992778.4</v>
      </c>
      <c r="F602">
        <v>0</v>
      </c>
      <c r="G602">
        <v>992778.4</v>
      </c>
    </row>
    <row r="603" spans="1:7" x14ac:dyDescent="0.25">
      <c r="A603" t="s">
        <v>1865</v>
      </c>
      <c r="B603" t="s">
        <v>2708</v>
      </c>
      <c r="C603" t="s">
        <v>2705</v>
      </c>
      <c r="D603">
        <v>0</v>
      </c>
      <c r="E603">
        <v>992778.4</v>
      </c>
      <c r="F603">
        <v>0</v>
      </c>
      <c r="G603">
        <v>992778.4</v>
      </c>
    </row>
    <row r="604" spans="1:7" x14ac:dyDescent="0.25">
      <c r="A604" t="s">
        <v>1865</v>
      </c>
      <c r="B604" t="s">
        <v>2709</v>
      </c>
      <c r="C604" t="s">
        <v>2710</v>
      </c>
      <c r="D604">
        <v>0</v>
      </c>
      <c r="E604">
        <v>8362000</v>
      </c>
      <c r="F604">
        <v>0</v>
      </c>
      <c r="G604">
        <v>8362000</v>
      </c>
    </row>
    <row r="605" spans="1:7" x14ac:dyDescent="0.25">
      <c r="A605" t="s">
        <v>1865</v>
      </c>
      <c r="B605" t="s">
        <v>2711</v>
      </c>
      <c r="C605" t="s">
        <v>2710</v>
      </c>
      <c r="D605">
        <v>0</v>
      </c>
      <c r="E605">
        <v>8362000</v>
      </c>
      <c r="F605">
        <v>0</v>
      </c>
      <c r="G605">
        <v>8362000</v>
      </c>
    </row>
    <row r="606" spans="1:7" x14ac:dyDescent="0.25">
      <c r="A606" t="s">
        <v>1865</v>
      </c>
      <c r="B606" t="s">
        <v>2712</v>
      </c>
      <c r="C606" t="s">
        <v>2710</v>
      </c>
      <c r="D606">
        <v>0</v>
      </c>
      <c r="E606">
        <v>8362000</v>
      </c>
      <c r="F606">
        <v>0</v>
      </c>
      <c r="G606">
        <v>8362000</v>
      </c>
    </row>
    <row r="607" spans="1:7" x14ac:dyDescent="0.25">
      <c r="A607" t="s">
        <v>1865</v>
      </c>
      <c r="B607" t="s">
        <v>2713</v>
      </c>
      <c r="C607" t="s">
        <v>2710</v>
      </c>
      <c r="D607">
        <v>0</v>
      </c>
      <c r="E607">
        <v>8362000</v>
      </c>
      <c r="F607">
        <v>0</v>
      </c>
      <c r="G607">
        <v>8362000</v>
      </c>
    </row>
    <row r="608" spans="1:7" x14ac:dyDescent="0.25">
      <c r="A608" t="s">
        <v>1865</v>
      </c>
      <c r="B608" t="s">
        <v>2714</v>
      </c>
      <c r="C608" t="s">
        <v>2715</v>
      </c>
      <c r="D608">
        <v>0</v>
      </c>
      <c r="E608">
        <v>73671135.989999995</v>
      </c>
      <c r="F608">
        <v>0</v>
      </c>
      <c r="G608">
        <v>73671135.989999995</v>
      </c>
    </row>
    <row r="609" spans="1:7" x14ac:dyDescent="0.25">
      <c r="A609" t="s">
        <v>1865</v>
      </c>
      <c r="B609" t="s">
        <v>2716</v>
      </c>
      <c r="C609" t="s">
        <v>2715</v>
      </c>
      <c r="D609">
        <v>0</v>
      </c>
      <c r="E609">
        <v>73671135.989999995</v>
      </c>
      <c r="F609">
        <v>0</v>
      </c>
      <c r="G609">
        <v>73671135.989999995</v>
      </c>
    </row>
    <row r="610" spans="1:7" x14ac:dyDescent="0.25">
      <c r="A610" t="s">
        <v>1865</v>
      </c>
      <c r="B610" t="s">
        <v>2717</v>
      </c>
      <c r="C610" t="s">
        <v>2715</v>
      </c>
      <c r="D610">
        <v>0</v>
      </c>
      <c r="E610">
        <v>73671135.989999995</v>
      </c>
      <c r="F610">
        <v>0</v>
      </c>
      <c r="G610">
        <v>73671135.989999995</v>
      </c>
    </row>
    <row r="611" spans="1:7" x14ac:dyDescent="0.25">
      <c r="A611" t="s">
        <v>1865</v>
      </c>
      <c r="B611" t="s">
        <v>2718</v>
      </c>
      <c r="C611" t="s">
        <v>2715</v>
      </c>
      <c r="D611">
        <v>0</v>
      </c>
      <c r="E611">
        <v>73671135.989999995</v>
      </c>
      <c r="F611">
        <v>0</v>
      </c>
      <c r="G611">
        <v>73671135.989999995</v>
      </c>
    </row>
    <row r="612" spans="1:7" x14ac:dyDescent="0.25">
      <c r="A612" t="s">
        <v>1865</v>
      </c>
      <c r="B612" t="s">
        <v>2719</v>
      </c>
      <c r="C612" t="s">
        <v>2720</v>
      </c>
      <c r="D612">
        <v>0</v>
      </c>
      <c r="E612">
        <v>1401946.7</v>
      </c>
      <c r="F612">
        <v>0</v>
      </c>
      <c r="G612">
        <v>1401946.7</v>
      </c>
    </row>
    <row r="613" spans="1:7" x14ac:dyDescent="0.25">
      <c r="A613" t="s">
        <v>1865</v>
      </c>
      <c r="B613" t="s">
        <v>2721</v>
      </c>
      <c r="C613" t="s">
        <v>2720</v>
      </c>
      <c r="D613">
        <v>0</v>
      </c>
      <c r="E613">
        <v>1401946.7</v>
      </c>
      <c r="F613">
        <v>0</v>
      </c>
      <c r="G613">
        <v>1401946.7</v>
      </c>
    </row>
    <row r="614" spans="1:7" x14ac:dyDescent="0.25">
      <c r="A614" t="s">
        <v>1865</v>
      </c>
      <c r="B614" t="s">
        <v>2722</v>
      </c>
      <c r="C614" t="s">
        <v>2720</v>
      </c>
      <c r="D614">
        <v>0</v>
      </c>
      <c r="E614">
        <v>1401946.7</v>
      </c>
      <c r="F614">
        <v>0</v>
      </c>
      <c r="G614">
        <v>1401946.7</v>
      </c>
    </row>
    <row r="615" spans="1:7" x14ac:dyDescent="0.25">
      <c r="A615" t="s">
        <v>1865</v>
      </c>
      <c r="B615" t="s">
        <v>2723</v>
      </c>
      <c r="C615" t="s">
        <v>2720</v>
      </c>
      <c r="D615">
        <v>0</v>
      </c>
      <c r="E615">
        <v>1401946.7</v>
      </c>
      <c r="F615">
        <v>0</v>
      </c>
      <c r="G615">
        <v>1401946.7</v>
      </c>
    </row>
    <row r="616" spans="1:7" x14ac:dyDescent="0.25">
      <c r="A616" t="s">
        <v>1865</v>
      </c>
      <c r="B616" t="s">
        <v>677</v>
      </c>
      <c r="C616" t="s">
        <v>2724</v>
      </c>
      <c r="D616">
        <v>0</v>
      </c>
      <c r="E616">
        <v>1330103.1000000001</v>
      </c>
      <c r="F616">
        <v>0</v>
      </c>
      <c r="G616">
        <v>1330103.1000000001</v>
      </c>
    </row>
    <row r="617" spans="1:7" x14ac:dyDescent="0.25">
      <c r="A617" t="s">
        <v>1865</v>
      </c>
      <c r="B617" t="s">
        <v>2725</v>
      </c>
      <c r="C617" t="s">
        <v>2726</v>
      </c>
      <c r="D617">
        <v>0</v>
      </c>
      <c r="E617">
        <v>0</v>
      </c>
      <c r="F617">
        <v>0</v>
      </c>
      <c r="G617">
        <v>0</v>
      </c>
    </row>
    <row r="618" spans="1:7" x14ac:dyDescent="0.25">
      <c r="A618" t="s">
        <v>1865</v>
      </c>
      <c r="B618" t="s">
        <v>2727</v>
      </c>
      <c r="C618" t="s">
        <v>2726</v>
      </c>
      <c r="D618">
        <v>0</v>
      </c>
      <c r="E618">
        <v>0</v>
      </c>
      <c r="F618">
        <v>0</v>
      </c>
      <c r="G618">
        <v>0</v>
      </c>
    </row>
    <row r="619" spans="1:7" x14ac:dyDescent="0.25">
      <c r="A619" t="s">
        <v>1865</v>
      </c>
      <c r="B619" t="s">
        <v>2728</v>
      </c>
      <c r="C619" t="s">
        <v>2726</v>
      </c>
      <c r="D619">
        <v>0</v>
      </c>
      <c r="E619">
        <v>0</v>
      </c>
      <c r="F619">
        <v>0</v>
      </c>
      <c r="G619">
        <v>0</v>
      </c>
    </row>
    <row r="620" spans="1:7" x14ac:dyDescent="0.25">
      <c r="A620" t="s">
        <v>1865</v>
      </c>
      <c r="B620" t="s">
        <v>2729</v>
      </c>
      <c r="C620" t="s">
        <v>2726</v>
      </c>
      <c r="D620">
        <v>0</v>
      </c>
      <c r="E620">
        <v>0</v>
      </c>
      <c r="F620">
        <v>0</v>
      </c>
      <c r="G620">
        <v>0</v>
      </c>
    </row>
    <row r="621" spans="1:7" x14ac:dyDescent="0.25">
      <c r="A621" t="s">
        <v>1865</v>
      </c>
      <c r="B621" t="s">
        <v>2730</v>
      </c>
      <c r="C621" t="s">
        <v>2731</v>
      </c>
      <c r="D621">
        <v>0</v>
      </c>
      <c r="E621">
        <v>411770</v>
      </c>
      <c r="F621">
        <v>0</v>
      </c>
      <c r="G621">
        <v>411770</v>
      </c>
    </row>
    <row r="622" spans="1:7" x14ac:dyDescent="0.25">
      <c r="A622" t="s">
        <v>1865</v>
      </c>
      <c r="B622" t="s">
        <v>2732</v>
      </c>
      <c r="C622" t="s">
        <v>2731</v>
      </c>
      <c r="D622">
        <v>0</v>
      </c>
      <c r="E622">
        <v>411770</v>
      </c>
      <c r="F622">
        <v>0</v>
      </c>
      <c r="G622">
        <v>411770</v>
      </c>
    </row>
    <row r="623" spans="1:7" x14ac:dyDescent="0.25">
      <c r="A623" t="s">
        <v>1865</v>
      </c>
      <c r="B623" t="s">
        <v>2733</v>
      </c>
      <c r="C623" t="s">
        <v>2731</v>
      </c>
      <c r="D623">
        <v>0</v>
      </c>
      <c r="E623">
        <v>411770</v>
      </c>
      <c r="F623">
        <v>0</v>
      </c>
      <c r="G623">
        <v>411770</v>
      </c>
    </row>
    <row r="624" spans="1:7" x14ac:dyDescent="0.25">
      <c r="A624" t="s">
        <v>1865</v>
      </c>
      <c r="B624" t="s">
        <v>2734</v>
      </c>
      <c r="C624" t="s">
        <v>2731</v>
      </c>
      <c r="D624">
        <v>0</v>
      </c>
      <c r="E624">
        <v>411770</v>
      </c>
      <c r="F624">
        <v>0</v>
      </c>
      <c r="G624">
        <v>411770</v>
      </c>
    </row>
    <row r="625" spans="1:7" x14ac:dyDescent="0.25">
      <c r="A625" t="s">
        <v>1865</v>
      </c>
      <c r="B625" t="s">
        <v>2735</v>
      </c>
      <c r="C625" t="s">
        <v>1791</v>
      </c>
      <c r="D625">
        <v>0</v>
      </c>
      <c r="E625">
        <v>314295</v>
      </c>
      <c r="F625">
        <v>0</v>
      </c>
      <c r="G625">
        <v>314295</v>
      </c>
    </row>
    <row r="626" spans="1:7" x14ac:dyDescent="0.25">
      <c r="A626" t="s">
        <v>1865</v>
      </c>
      <c r="B626" t="s">
        <v>2736</v>
      </c>
      <c r="C626" t="s">
        <v>1791</v>
      </c>
      <c r="D626">
        <v>0</v>
      </c>
      <c r="E626">
        <v>314295</v>
      </c>
      <c r="F626">
        <v>0</v>
      </c>
      <c r="G626">
        <v>314295</v>
      </c>
    </row>
    <row r="627" spans="1:7" x14ac:dyDescent="0.25">
      <c r="A627" t="s">
        <v>1865</v>
      </c>
      <c r="B627" t="s">
        <v>2737</v>
      </c>
      <c r="C627" t="s">
        <v>1791</v>
      </c>
      <c r="D627">
        <v>0</v>
      </c>
      <c r="E627">
        <v>314295</v>
      </c>
      <c r="F627">
        <v>0</v>
      </c>
      <c r="G627">
        <v>314295</v>
      </c>
    </row>
    <row r="628" spans="1:7" x14ac:dyDescent="0.25">
      <c r="A628" t="s">
        <v>1865</v>
      </c>
      <c r="B628" t="s">
        <v>2738</v>
      </c>
      <c r="C628" t="s">
        <v>1791</v>
      </c>
      <c r="D628">
        <v>0</v>
      </c>
      <c r="E628">
        <v>314295</v>
      </c>
      <c r="F628">
        <v>0</v>
      </c>
      <c r="G628">
        <v>314295</v>
      </c>
    </row>
    <row r="629" spans="1:7" x14ac:dyDescent="0.25">
      <c r="A629" t="s">
        <v>1865</v>
      </c>
      <c r="B629" t="s">
        <v>2739</v>
      </c>
      <c r="C629" t="s">
        <v>1792</v>
      </c>
      <c r="D629">
        <v>0</v>
      </c>
      <c r="E629">
        <v>604038.1</v>
      </c>
      <c r="F629">
        <v>0</v>
      </c>
      <c r="G629">
        <v>604038.1</v>
      </c>
    </row>
    <row r="630" spans="1:7" x14ac:dyDescent="0.25">
      <c r="A630" t="s">
        <v>1865</v>
      </c>
      <c r="B630" t="s">
        <v>2740</v>
      </c>
      <c r="C630" t="s">
        <v>1792</v>
      </c>
      <c r="D630">
        <v>0</v>
      </c>
      <c r="E630">
        <v>604038.1</v>
      </c>
      <c r="F630">
        <v>0</v>
      </c>
      <c r="G630">
        <v>604038.1</v>
      </c>
    </row>
    <row r="631" spans="1:7" x14ac:dyDescent="0.25">
      <c r="A631" t="s">
        <v>1865</v>
      </c>
      <c r="B631" t="s">
        <v>2741</v>
      </c>
      <c r="C631" t="s">
        <v>1792</v>
      </c>
      <c r="D631">
        <v>0</v>
      </c>
      <c r="E631">
        <v>604038.1</v>
      </c>
      <c r="F631">
        <v>0</v>
      </c>
      <c r="G631">
        <v>604038.1</v>
      </c>
    </row>
    <row r="632" spans="1:7" x14ac:dyDescent="0.25">
      <c r="A632" t="s">
        <v>1865</v>
      </c>
      <c r="B632" t="s">
        <v>2742</v>
      </c>
      <c r="C632" t="s">
        <v>1792</v>
      </c>
      <c r="D632">
        <v>0</v>
      </c>
      <c r="E632">
        <v>604038.1</v>
      </c>
      <c r="F632">
        <v>0</v>
      </c>
      <c r="G632">
        <v>604038.1</v>
      </c>
    </row>
    <row r="633" spans="1:7" x14ac:dyDescent="0.25">
      <c r="A633" t="s">
        <v>1865</v>
      </c>
      <c r="B633" t="s">
        <v>679</v>
      </c>
      <c r="C633" t="s">
        <v>2743</v>
      </c>
      <c r="D633">
        <v>0</v>
      </c>
      <c r="E633">
        <v>6789081.04</v>
      </c>
      <c r="F633">
        <v>708635</v>
      </c>
      <c r="G633">
        <v>6080446.04</v>
      </c>
    </row>
    <row r="634" spans="1:7" x14ac:dyDescent="0.25">
      <c r="A634" t="s">
        <v>1865</v>
      </c>
      <c r="B634" t="s">
        <v>2744</v>
      </c>
      <c r="C634" t="s">
        <v>2745</v>
      </c>
      <c r="D634">
        <v>0</v>
      </c>
      <c r="E634">
        <v>6789081.04</v>
      </c>
      <c r="F634">
        <v>708635</v>
      </c>
      <c r="G634">
        <v>6080446.04</v>
      </c>
    </row>
    <row r="635" spans="1:7" x14ac:dyDescent="0.25">
      <c r="A635" t="s">
        <v>1865</v>
      </c>
      <c r="B635" t="s">
        <v>2746</v>
      </c>
      <c r="C635" t="s">
        <v>2747</v>
      </c>
      <c r="D635">
        <v>0</v>
      </c>
      <c r="E635">
        <v>2047565</v>
      </c>
      <c r="F635">
        <v>75608</v>
      </c>
      <c r="G635">
        <v>1971957</v>
      </c>
    </row>
    <row r="636" spans="1:7" x14ac:dyDescent="0.25">
      <c r="A636" t="s">
        <v>1865</v>
      </c>
      <c r="B636" t="s">
        <v>2748</v>
      </c>
      <c r="C636" t="s">
        <v>2747</v>
      </c>
      <c r="D636">
        <v>0</v>
      </c>
      <c r="E636">
        <v>2047565</v>
      </c>
      <c r="F636">
        <v>75608</v>
      </c>
      <c r="G636">
        <v>1971957</v>
      </c>
    </row>
    <row r="637" spans="1:7" x14ac:dyDescent="0.25">
      <c r="A637" t="s">
        <v>1865</v>
      </c>
      <c r="B637" t="s">
        <v>2749</v>
      </c>
      <c r="C637" t="s">
        <v>2747</v>
      </c>
      <c r="D637">
        <v>0</v>
      </c>
      <c r="E637">
        <v>2047565</v>
      </c>
      <c r="F637">
        <v>75608</v>
      </c>
      <c r="G637">
        <v>1971957</v>
      </c>
    </row>
    <row r="638" spans="1:7" x14ac:dyDescent="0.25">
      <c r="A638" t="s">
        <v>1865</v>
      </c>
      <c r="B638" t="s">
        <v>2750</v>
      </c>
      <c r="C638" t="s">
        <v>2751</v>
      </c>
      <c r="D638">
        <v>0</v>
      </c>
      <c r="E638">
        <v>1899081</v>
      </c>
      <c r="F638">
        <v>633027</v>
      </c>
      <c r="G638">
        <v>1266054</v>
      </c>
    </row>
    <row r="639" spans="1:7" x14ac:dyDescent="0.25">
      <c r="A639" t="s">
        <v>1865</v>
      </c>
      <c r="B639" t="s">
        <v>2752</v>
      </c>
      <c r="C639" t="s">
        <v>2751</v>
      </c>
      <c r="D639">
        <v>0</v>
      </c>
      <c r="E639">
        <v>1899081</v>
      </c>
      <c r="F639">
        <v>633027</v>
      </c>
      <c r="G639">
        <v>1266054</v>
      </c>
    </row>
    <row r="640" spans="1:7" x14ac:dyDescent="0.25">
      <c r="A640" t="s">
        <v>1865</v>
      </c>
      <c r="B640" t="s">
        <v>2753</v>
      </c>
      <c r="C640" t="s">
        <v>2751</v>
      </c>
      <c r="D640">
        <v>0</v>
      </c>
      <c r="E640">
        <v>1899081</v>
      </c>
      <c r="F640">
        <v>633027</v>
      </c>
      <c r="G640">
        <v>1266054</v>
      </c>
    </row>
    <row r="641" spans="1:7" x14ac:dyDescent="0.25">
      <c r="A641" t="s">
        <v>1865</v>
      </c>
      <c r="B641" t="s">
        <v>2754</v>
      </c>
      <c r="C641" t="s">
        <v>2755</v>
      </c>
      <c r="D641">
        <v>0</v>
      </c>
      <c r="E641">
        <v>556648.04</v>
      </c>
      <c r="F641">
        <v>0</v>
      </c>
      <c r="G641">
        <v>556648.04</v>
      </c>
    </row>
    <row r="642" spans="1:7" x14ac:dyDescent="0.25">
      <c r="A642" t="s">
        <v>1865</v>
      </c>
      <c r="B642" t="s">
        <v>2756</v>
      </c>
      <c r="C642" t="s">
        <v>2755</v>
      </c>
      <c r="D642">
        <v>0</v>
      </c>
      <c r="E642">
        <v>556648.04</v>
      </c>
      <c r="F642">
        <v>0</v>
      </c>
      <c r="G642">
        <v>556648.04</v>
      </c>
    </row>
    <row r="643" spans="1:7" x14ac:dyDescent="0.25">
      <c r="A643" t="s">
        <v>1865</v>
      </c>
      <c r="B643" t="s">
        <v>2757</v>
      </c>
      <c r="C643" t="s">
        <v>2755</v>
      </c>
      <c r="D643">
        <v>0</v>
      </c>
      <c r="E643">
        <v>556648.04</v>
      </c>
      <c r="F643">
        <v>0</v>
      </c>
      <c r="G643">
        <v>556648.04</v>
      </c>
    </row>
    <row r="644" spans="1:7" x14ac:dyDescent="0.25">
      <c r="A644" t="s">
        <v>1865</v>
      </c>
      <c r="B644" t="s">
        <v>2758</v>
      </c>
      <c r="C644" t="s">
        <v>2759</v>
      </c>
      <c r="D644">
        <v>0</v>
      </c>
      <c r="E644">
        <v>2285787</v>
      </c>
      <c r="F644">
        <v>0</v>
      </c>
      <c r="G644">
        <v>2285787</v>
      </c>
    </row>
    <row r="645" spans="1:7" x14ac:dyDescent="0.25">
      <c r="A645" t="s">
        <v>1865</v>
      </c>
      <c r="B645" t="s">
        <v>2760</v>
      </c>
      <c r="C645" t="s">
        <v>2761</v>
      </c>
      <c r="D645">
        <v>0</v>
      </c>
      <c r="E645">
        <v>2285787</v>
      </c>
      <c r="F645">
        <v>0</v>
      </c>
      <c r="G645">
        <v>2285787</v>
      </c>
    </row>
    <row r="646" spans="1:7" x14ac:dyDescent="0.25">
      <c r="A646" t="s">
        <v>1865</v>
      </c>
      <c r="B646" t="s">
        <v>2762</v>
      </c>
      <c r="C646" t="s">
        <v>2763</v>
      </c>
      <c r="D646">
        <v>0</v>
      </c>
      <c r="E646">
        <v>2285787</v>
      </c>
      <c r="F646">
        <v>0</v>
      </c>
      <c r="G646">
        <v>2285787</v>
      </c>
    </row>
    <row r="647" spans="1:7" x14ac:dyDescent="0.25">
      <c r="A647" t="s">
        <v>1865</v>
      </c>
      <c r="B647" t="s">
        <v>681</v>
      </c>
      <c r="C647" t="s">
        <v>2764</v>
      </c>
      <c r="D647">
        <v>0</v>
      </c>
      <c r="E647">
        <v>446118.8</v>
      </c>
      <c r="F647">
        <v>0</v>
      </c>
      <c r="G647">
        <v>446118.8</v>
      </c>
    </row>
    <row r="648" spans="1:7" x14ac:dyDescent="0.25">
      <c r="A648" t="s">
        <v>1865</v>
      </c>
      <c r="B648" t="s">
        <v>2765</v>
      </c>
      <c r="C648" t="s">
        <v>2766</v>
      </c>
      <c r="D648">
        <v>0</v>
      </c>
      <c r="E648">
        <v>446118.8</v>
      </c>
      <c r="F648">
        <v>0</v>
      </c>
      <c r="G648">
        <v>446118.8</v>
      </c>
    </row>
    <row r="649" spans="1:7" x14ac:dyDescent="0.25">
      <c r="A649" t="s">
        <v>1865</v>
      </c>
      <c r="B649" t="s">
        <v>2767</v>
      </c>
      <c r="C649" t="s">
        <v>2766</v>
      </c>
      <c r="D649">
        <v>0</v>
      </c>
      <c r="E649">
        <v>446118.8</v>
      </c>
      <c r="F649">
        <v>0</v>
      </c>
      <c r="G649">
        <v>446118.8</v>
      </c>
    </row>
    <row r="650" spans="1:7" x14ac:dyDescent="0.25">
      <c r="A650" t="s">
        <v>1865</v>
      </c>
      <c r="B650" t="s">
        <v>2768</v>
      </c>
      <c r="C650" t="s">
        <v>2766</v>
      </c>
      <c r="D650">
        <v>0</v>
      </c>
      <c r="E650">
        <v>446118.8</v>
      </c>
      <c r="F650">
        <v>0</v>
      </c>
      <c r="G650">
        <v>446118.8</v>
      </c>
    </row>
    <row r="651" spans="1:7" x14ac:dyDescent="0.25">
      <c r="A651" t="s">
        <v>1865</v>
      </c>
      <c r="B651" t="s">
        <v>2769</v>
      </c>
      <c r="C651" t="s">
        <v>2766</v>
      </c>
      <c r="D651">
        <v>0</v>
      </c>
      <c r="E651">
        <v>446118.8</v>
      </c>
      <c r="F651">
        <v>0</v>
      </c>
      <c r="G651">
        <v>446118.8</v>
      </c>
    </row>
    <row r="652" spans="1:7" x14ac:dyDescent="0.25">
      <c r="A652" t="s">
        <v>1865</v>
      </c>
      <c r="B652" t="s">
        <v>2770</v>
      </c>
      <c r="C652" t="s">
        <v>2771</v>
      </c>
      <c r="D652">
        <v>0</v>
      </c>
      <c r="E652">
        <v>0</v>
      </c>
      <c r="F652">
        <v>0</v>
      </c>
      <c r="G652">
        <v>0</v>
      </c>
    </row>
    <row r="653" spans="1:7" x14ac:dyDescent="0.25">
      <c r="A653" t="s">
        <v>1865</v>
      </c>
      <c r="B653" t="s">
        <v>2772</v>
      </c>
      <c r="C653" t="s">
        <v>2771</v>
      </c>
      <c r="D653">
        <v>0</v>
      </c>
      <c r="E653">
        <v>0</v>
      </c>
      <c r="F653">
        <v>0</v>
      </c>
      <c r="G653">
        <v>0</v>
      </c>
    </row>
    <row r="654" spans="1:7" x14ac:dyDescent="0.25">
      <c r="A654" t="s">
        <v>1865</v>
      </c>
      <c r="B654" t="s">
        <v>2773</v>
      </c>
      <c r="C654" t="s">
        <v>2771</v>
      </c>
      <c r="D654">
        <v>0</v>
      </c>
      <c r="E654">
        <v>0</v>
      </c>
      <c r="F654">
        <v>0</v>
      </c>
      <c r="G654">
        <v>0</v>
      </c>
    </row>
    <row r="655" spans="1:7" x14ac:dyDescent="0.25">
      <c r="A655" t="s">
        <v>1865</v>
      </c>
      <c r="B655" t="s">
        <v>2774</v>
      </c>
      <c r="C655" t="s">
        <v>2771</v>
      </c>
      <c r="D655">
        <v>0</v>
      </c>
      <c r="E655">
        <v>0</v>
      </c>
      <c r="F655">
        <v>0</v>
      </c>
      <c r="G655">
        <v>0</v>
      </c>
    </row>
    <row r="656" spans="1:7" x14ac:dyDescent="0.25">
      <c r="A656" t="s">
        <v>1865</v>
      </c>
      <c r="B656" t="s">
        <v>683</v>
      </c>
      <c r="C656" t="s">
        <v>2775</v>
      </c>
      <c r="D656">
        <v>0</v>
      </c>
      <c r="E656">
        <v>27886410.120000001</v>
      </c>
      <c r="F656">
        <v>0</v>
      </c>
      <c r="G656">
        <v>27886410.120000001</v>
      </c>
    </row>
    <row r="657" spans="1:7" x14ac:dyDescent="0.25">
      <c r="A657" t="s">
        <v>1865</v>
      </c>
      <c r="B657" t="s">
        <v>2776</v>
      </c>
      <c r="C657" t="s">
        <v>2777</v>
      </c>
      <c r="D657">
        <v>0</v>
      </c>
      <c r="E657">
        <v>13308079.99</v>
      </c>
      <c r="F657">
        <v>0</v>
      </c>
      <c r="G657">
        <v>13308079.99</v>
      </c>
    </row>
    <row r="658" spans="1:7" x14ac:dyDescent="0.25">
      <c r="A658" t="s">
        <v>1865</v>
      </c>
      <c r="B658" t="s">
        <v>2778</v>
      </c>
      <c r="C658" t="s">
        <v>2779</v>
      </c>
      <c r="D658">
        <v>0</v>
      </c>
      <c r="E658">
        <v>13308079.99</v>
      </c>
      <c r="F658">
        <v>0</v>
      </c>
      <c r="G658">
        <v>13308079.99</v>
      </c>
    </row>
    <row r="659" spans="1:7" x14ac:dyDescent="0.25">
      <c r="A659" t="s">
        <v>1865</v>
      </c>
      <c r="B659" t="s">
        <v>2780</v>
      </c>
      <c r="C659" t="s">
        <v>2779</v>
      </c>
      <c r="D659">
        <v>0</v>
      </c>
      <c r="E659">
        <v>13308079.99</v>
      </c>
      <c r="F659">
        <v>0</v>
      </c>
      <c r="G659">
        <v>13308079.99</v>
      </c>
    </row>
    <row r="660" spans="1:7" x14ac:dyDescent="0.25">
      <c r="A660" t="s">
        <v>1865</v>
      </c>
      <c r="B660" t="s">
        <v>2781</v>
      </c>
      <c r="C660" t="s">
        <v>2779</v>
      </c>
      <c r="D660">
        <v>0</v>
      </c>
      <c r="E660">
        <v>13308079.99</v>
      </c>
      <c r="F660">
        <v>0</v>
      </c>
      <c r="G660">
        <v>13308079.99</v>
      </c>
    </row>
    <row r="661" spans="1:7" x14ac:dyDescent="0.25">
      <c r="A661" t="s">
        <v>1865</v>
      </c>
      <c r="B661" t="s">
        <v>2782</v>
      </c>
      <c r="C661" t="s">
        <v>2783</v>
      </c>
      <c r="D661">
        <v>0</v>
      </c>
      <c r="E661">
        <v>1282350</v>
      </c>
      <c r="F661">
        <v>0</v>
      </c>
      <c r="G661">
        <v>1282350</v>
      </c>
    </row>
    <row r="662" spans="1:7" x14ac:dyDescent="0.25">
      <c r="A662" t="s">
        <v>1865</v>
      </c>
      <c r="B662" t="s">
        <v>2784</v>
      </c>
      <c r="C662" t="s">
        <v>2783</v>
      </c>
      <c r="D662">
        <v>0</v>
      </c>
      <c r="E662">
        <v>1282350</v>
      </c>
      <c r="F662">
        <v>0</v>
      </c>
      <c r="G662">
        <v>1282350</v>
      </c>
    </row>
    <row r="663" spans="1:7" x14ac:dyDescent="0.25">
      <c r="A663" t="s">
        <v>1865</v>
      </c>
      <c r="B663" t="s">
        <v>2785</v>
      </c>
      <c r="C663" t="s">
        <v>2783</v>
      </c>
      <c r="D663">
        <v>0</v>
      </c>
      <c r="E663">
        <v>1282350</v>
      </c>
      <c r="F663">
        <v>0</v>
      </c>
      <c r="G663">
        <v>1282350</v>
      </c>
    </row>
    <row r="664" spans="1:7" x14ac:dyDescent="0.25">
      <c r="A664" t="s">
        <v>1865</v>
      </c>
      <c r="B664" t="s">
        <v>2786</v>
      </c>
      <c r="C664" t="s">
        <v>2783</v>
      </c>
      <c r="D664">
        <v>0</v>
      </c>
      <c r="E664">
        <v>1282350</v>
      </c>
      <c r="F664">
        <v>0</v>
      </c>
      <c r="G664">
        <v>1282350</v>
      </c>
    </row>
    <row r="665" spans="1:7" x14ac:dyDescent="0.25">
      <c r="A665" t="s">
        <v>1865</v>
      </c>
      <c r="B665" t="s">
        <v>2787</v>
      </c>
      <c r="C665" t="s">
        <v>2788</v>
      </c>
      <c r="D665">
        <v>0</v>
      </c>
      <c r="E665">
        <v>2403862.56</v>
      </c>
      <c r="F665">
        <v>0</v>
      </c>
      <c r="G665">
        <v>2403862.56</v>
      </c>
    </row>
    <row r="666" spans="1:7" x14ac:dyDescent="0.25">
      <c r="A666" t="s">
        <v>1865</v>
      </c>
      <c r="B666" t="s">
        <v>2789</v>
      </c>
      <c r="C666" t="s">
        <v>2788</v>
      </c>
      <c r="D666">
        <v>0</v>
      </c>
      <c r="E666">
        <v>2403862.56</v>
      </c>
      <c r="F666">
        <v>0</v>
      </c>
      <c r="G666">
        <v>2403862.56</v>
      </c>
    </row>
    <row r="667" spans="1:7" x14ac:dyDescent="0.25">
      <c r="A667" t="s">
        <v>1865</v>
      </c>
      <c r="B667" t="s">
        <v>2790</v>
      </c>
      <c r="C667" t="s">
        <v>2788</v>
      </c>
      <c r="D667">
        <v>0</v>
      </c>
      <c r="E667">
        <v>2403862.56</v>
      </c>
      <c r="F667">
        <v>0</v>
      </c>
      <c r="G667">
        <v>2403862.56</v>
      </c>
    </row>
    <row r="668" spans="1:7" x14ac:dyDescent="0.25">
      <c r="A668" t="s">
        <v>1865</v>
      </c>
      <c r="B668" t="s">
        <v>2791</v>
      </c>
      <c r="C668" t="s">
        <v>2788</v>
      </c>
      <c r="D668">
        <v>0</v>
      </c>
      <c r="E668">
        <v>2403862.56</v>
      </c>
      <c r="F668">
        <v>0</v>
      </c>
      <c r="G668">
        <v>2403862.56</v>
      </c>
    </row>
    <row r="669" spans="1:7" x14ac:dyDescent="0.25">
      <c r="A669" t="s">
        <v>1865</v>
      </c>
      <c r="B669" t="s">
        <v>2792</v>
      </c>
      <c r="C669" t="s">
        <v>2793</v>
      </c>
      <c r="D669">
        <v>0</v>
      </c>
      <c r="E669">
        <v>1245850</v>
      </c>
      <c r="F669">
        <v>0</v>
      </c>
      <c r="G669">
        <v>1245850</v>
      </c>
    </row>
    <row r="670" spans="1:7" x14ac:dyDescent="0.25">
      <c r="A670" t="s">
        <v>1865</v>
      </c>
      <c r="B670" t="s">
        <v>2794</v>
      </c>
      <c r="C670" t="s">
        <v>2795</v>
      </c>
      <c r="D670">
        <v>0</v>
      </c>
      <c r="E670">
        <v>1245850</v>
      </c>
      <c r="F670">
        <v>0</v>
      </c>
      <c r="G670">
        <v>1245850</v>
      </c>
    </row>
    <row r="671" spans="1:7" x14ac:dyDescent="0.25">
      <c r="A671" t="s">
        <v>1865</v>
      </c>
      <c r="B671" t="s">
        <v>2796</v>
      </c>
      <c r="C671" t="s">
        <v>2797</v>
      </c>
      <c r="D671">
        <v>0</v>
      </c>
      <c r="E671">
        <v>1245850</v>
      </c>
      <c r="F671">
        <v>0</v>
      </c>
      <c r="G671">
        <v>1245850</v>
      </c>
    </row>
    <row r="672" spans="1:7" x14ac:dyDescent="0.25">
      <c r="A672" t="s">
        <v>1865</v>
      </c>
      <c r="B672" t="s">
        <v>2798</v>
      </c>
      <c r="C672" t="s">
        <v>2799</v>
      </c>
      <c r="D672">
        <v>0</v>
      </c>
      <c r="E672">
        <v>1245850</v>
      </c>
      <c r="F672">
        <v>0</v>
      </c>
      <c r="G672">
        <v>1245850</v>
      </c>
    </row>
    <row r="673" spans="1:7" x14ac:dyDescent="0.25">
      <c r="A673" t="s">
        <v>1865</v>
      </c>
      <c r="B673" t="s">
        <v>2800</v>
      </c>
      <c r="C673" t="s">
        <v>2801</v>
      </c>
      <c r="D673">
        <v>0</v>
      </c>
      <c r="E673">
        <v>60000</v>
      </c>
      <c r="F673">
        <v>0</v>
      </c>
      <c r="G673">
        <v>60000</v>
      </c>
    </row>
    <row r="674" spans="1:7" x14ac:dyDescent="0.25">
      <c r="A674" t="s">
        <v>1865</v>
      </c>
      <c r="B674" t="s">
        <v>2802</v>
      </c>
      <c r="C674" t="s">
        <v>2803</v>
      </c>
      <c r="D674">
        <v>0</v>
      </c>
      <c r="E674">
        <v>60000</v>
      </c>
      <c r="F674">
        <v>0</v>
      </c>
      <c r="G674">
        <v>60000</v>
      </c>
    </row>
    <row r="675" spans="1:7" x14ac:dyDescent="0.25">
      <c r="A675" t="s">
        <v>1865</v>
      </c>
      <c r="B675" t="s">
        <v>2804</v>
      </c>
      <c r="C675" t="s">
        <v>2805</v>
      </c>
      <c r="D675">
        <v>0</v>
      </c>
      <c r="E675">
        <v>60000</v>
      </c>
      <c r="F675">
        <v>0</v>
      </c>
      <c r="G675">
        <v>60000</v>
      </c>
    </row>
    <row r="676" spans="1:7" x14ac:dyDescent="0.25">
      <c r="A676" t="s">
        <v>1865</v>
      </c>
      <c r="B676" t="s">
        <v>2806</v>
      </c>
      <c r="C676" t="s">
        <v>2807</v>
      </c>
      <c r="D676">
        <v>0</v>
      </c>
      <c r="E676">
        <v>60000</v>
      </c>
      <c r="F676">
        <v>0</v>
      </c>
      <c r="G676">
        <v>60000</v>
      </c>
    </row>
    <row r="677" spans="1:7" x14ac:dyDescent="0.25">
      <c r="A677" t="s">
        <v>1865</v>
      </c>
      <c r="B677" t="s">
        <v>2808</v>
      </c>
      <c r="C677" t="s">
        <v>2809</v>
      </c>
      <c r="D677">
        <v>0</v>
      </c>
      <c r="E677">
        <v>9586267.5700000003</v>
      </c>
      <c r="F677">
        <v>0</v>
      </c>
      <c r="G677">
        <v>9586267.5700000003</v>
      </c>
    </row>
    <row r="678" spans="1:7" x14ac:dyDescent="0.25">
      <c r="A678" t="s">
        <v>1865</v>
      </c>
      <c r="B678" t="s">
        <v>2810</v>
      </c>
      <c r="C678" t="s">
        <v>2811</v>
      </c>
      <c r="D678">
        <v>0</v>
      </c>
      <c r="E678">
        <v>9586267.5700000003</v>
      </c>
      <c r="F678">
        <v>0</v>
      </c>
      <c r="G678">
        <v>9586267.5700000003</v>
      </c>
    </row>
    <row r="679" spans="1:7" x14ac:dyDescent="0.25">
      <c r="A679" t="s">
        <v>1865</v>
      </c>
      <c r="B679" t="s">
        <v>2812</v>
      </c>
      <c r="C679" t="s">
        <v>2813</v>
      </c>
      <c r="D679">
        <v>0</v>
      </c>
      <c r="E679">
        <v>9586267.5700000003</v>
      </c>
      <c r="F679">
        <v>0</v>
      </c>
      <c r="G679">
        <v>9586267.5700000003</v>
      </c>
    </row>
    <row r="680" spans="1:7" x14ac:dyDescent="0.25">
      <c r="A680" t="s">
        <v>1865</v>
      </c>
      <c r="B680" t="s">
        <v>2814</v>
      </c>
      <c r="C680" t="s">
        <v>2815</v>
      </c>
      <c r="D680">
        <v>0</v>
      </c>
      <c r="E680">
        <v>9586267.5700000003</v>
      </c>
      <c r="F680">
        <v>0</v>
      </c>
      <c r="G680">
        <v>9586267.5700000003</v>
      </c>
    </row>
    <row r="681" spans="1:7" x14ac:dyDescent="0.25">
      <c r="A681" t="s">
        <v>1865</v>
      </c>
      <c r="B681" t="s">
        <v>687</v>
      </c>
      <c r="C681" t="s">
        <v>2816</v>
      </c>
      <c r="D681">
        <v>0</v>
      </c>
      <c r="E681">
        <v>2599572.21</v>
      </c>
      <c r="F681">
        <v>208319</v>
      </c>
      <c r="G681">
        <v>2391253.21</v>
      </c>
    </row>
    <row r="682" spans="1:7" x14ac:dyDescent="0.25">
      <c r="A682" t="s">
        <v>1865</v>
      </c>
      <c r="B682" t="s">
        <v>690</v>
      </c>
      <c r="C682" t="s">
        <v>1957</v>
      </c>
      <c r="D682">
        <v>0</v>
      </c>
      <c r="E682">
        <v>945779.78</v>
      </c>
      <c r="F682">
        <v>208319</v>
      </c>
      <c r="G682">
        <v>737460.78</v>
      </c>
    </row>
    <row r="683" spans="1:7" x14ac:dyDescent="0.25">
      <c r="A683" t="s">
        <v>1865</v>
      </c>
      <c r="B683" t="s">
        <v>2817</v>
      </c>
      <c r="C683" t="s">
        <v>1805</v>
      </c>
      <c r="D683">
        <v>0</v>
      </c>
      <c r="E683">
        <v>610008</v>
      </c>
      <c r="F683">
        <v>0</v>
      </c>
      <c r="G683">
        <v>610008</v>
      </c>
    </row>
    <row r="684" spans="1:7" x14ac:dyDescent="0.25">
      <c r="A684" t="s">
        <v>1865</v>
      </c>
      <c r="B684" t="s">
        <v>2818</v>
      </c>
      <c r="C684" t="s">
        <v>1805</v>
      </c>
      <c r="D684">
        <v>0</v>
      </c>
      <c r="E684">
        <v>610008</v>
      </c>
      <c r="F684">
        <v>0</v>
      </c>
      <c r="G684">
        <v>610008</v>
      </c>
    </row>
    <row r="685" spans="1:7" x14ac:dyDescent="0.25">
      <c r="A685" t="s">
        <v>1865</v>
      </c>
      <c r="B685" t="s">
        <v>2819</v>
      </c>
      <c r="C685" t="s">
        <v>1805</v>
      </c>
      <c r="D685">
        <v>0</v>
      </c>
      <c r="E685">
        <v>610008</v>
      </c>
      <c r="F685">
        <v>0</v>
      </c>
      <c r="G685">
        <v>610008</v>
      </c>
    </row>
    <row r="686" spans="1:7" x14ac:dyDescent="0.25">
      <c r="A686" t="s">
        <v>1865</v>
      </c>
      <c r="B686" t="s">
        <v>2820</v>
      </c>
      <c r="C686" t="s">
        <v>1805</v>
      </c>
      <c r="D686">
        <v>0</v>
      </c>
      <c r="E686">
        <v>610008</v>
      </c>
      <c r="F686">
        <v>0</v>
      </c>
      <c r="G686">
        <v>610008</v>
      </c>
    </row>
    <row r="687" spans="1:7" x14ac:dyDescent="0.25">
      <c r="A687" t="s">
        <v>1865</v>
      </c>
      <c r="B687" t="s">
        <v>2821</v>
      </c>
      <c r="C687" t="s">
        <v>1959</v>
      </c>
      <c r="D687">
        <v>0</v>
      </c>
      <c r="E687">
        <v>0</v>
      </c>
      <c r="F687">
        <v>0</v>
      </c>
      <c r="G687">
        <v>0</v>
      </c>
    </row>
    <row r="688" spans="1:7" x14ac:dyDescent="0.25">
      <c r="A688" t="s">
        <v>1865</v>
      </c>
      <c r="B688" t="s">
        <v>2822</v>
      </c>
      <c r="C688" t="s">
        <v>1959</v>
      </c>
      <c r="D688">
        <v>0</v>
      </c>
      <c r="E688">
        <v>0</v>
      </c>
      <c r="F688">
        <v>0</v>
      </c>
      <c r="G688">
        <v>0</v>
      </c>
    </row>
    <row r="689" spans="1:7" x14ac:dyDescent="0.25">
      <c r="A689" t="s">
        <v>1865</v>
      </c>
      <c r="B689" t="s">
        <v>2823</v>
      </c>
      <c r="C689" t="s">
        <v>1959</v>
      </c>
      <c r="D689">
        <v>0</v>
      </c>
      <c r="E689">
        <v>0</v>
      </c>
      <c r="F689">
        <v>0</v>
      </c>
      <c r="G689">
        <v>0</v>
      </c>
    </row>
    <row r="690" spans="1:7" x14ac:dyDescent="0.25">
      <c r="A690" t="s">
        <v>1865</v>
      </c>
      <c r="B690" t="s">
        <v>2824</v>
      </c>
      <c r="C690" t="s">
        <v>1959</v>
      </c>
      <c r="D690">
        <v>0</v>
      </c>
      <c r="E690">
        <v>0</v>
      </c>
      <c r="F690">
        <v>0</v>
      </c>
      <c r="G690">
        <v>0</v>
      </c>
    </row>
    <row r="691" spans="1:7" x14ac:dyDescent="0.25">
      <c r="A691" t="s">
        <v>1865</v>
      </c>
      <c r="B691" t="s">
        <v>2825</v>
      </c>
      <c r="C691" t="s">
        <v>1963</v>
      </c>
      <c r="D691">
        <v>0</v>
      </c>
      <c r="E691">
        <v>335771.78</v>
      </c>
      <c r="F691">
        <v>208319</v>
      </c>
      <c r="G691">
        <v>127452.78000000003</v>
      </c>
    </row>
    <row r="692" spans="1:7" x14ac:dyDescent="0.25">
      <c r="A692" t="s">
        <v>1865</v>
      </c>
      <c r="B692" t="s">
        <v>2826</v>
      </c>
      <c r="C692" t="s">
        <v>1963</v>
      </c>
      <c r="D692">
        <v>0</v>
      </c>
      <c r="E692">
        <v>335771.78</v>
      </c>
      <c r="F692">
        <v>208319</v>
      </c>
      <c r="G692">
        <v>127452.78000000003</v>
      </c>
    </row>
    <row r="693" spans="1:7" x14ac:dyDescent="0.25">
      <c r="A693" t="s">
        <v>1865</v>
      </c>
      <c r="B693" t="s">
        <v>2827</v>
      </c>
      <c r="C693" t="s">
        <v>1963</v>
      </c>
      <c r="D693">
        <v>0</v>
      </c>
      <c r="E693">
        <v>335771.78</v>
      </c>
      <c r="F693">
        <v>208319</v>
      </c>
      <c r="G693">
        <v>127452.78000000003</v>
      </c>
    </row>
    <row r="694" spans="1:7" x14ac:dyDescent="0.25">
      <c r="A694" t="s">
        <v>1865</v>
      </c>
      <c r="B694" t="s">
        <v>2828</v>
      </c>
      <c r="C694" t="s">
        <v>1963</v>
      </c>
      <c r="D694">
        <v>0</v>
      </c>
      <c r="E694">
        <v>335771.78</v>
      </c>
      <c r="F694">
        <v>208319</v>
      </c>
      <c r="G694">
        <v>127452.78000000003</v>
      </c>
    </row>
    <row r="695" spans="1:7" x14ac:dyDescent="0.25">
      <c r="A695" t="s">
        <v>1865</v>
      </c>
      <c r="B695" t="s">
        <v>694</v>
      </c>
      <c r="C695" t="s">
        <v>2829</v>
      </c>
      <c r="D695">
        <v>0</v>
      </c>
      <c r="E695">
        <v>611441.88</v>
      </c>
      <c r="F695">
        <v>0</v>
      </c>
      <c r="G695">
        <v>611441.88</v>
      </c>
    </row>
    <row r="696" spans="1:7" x14ac:dyDescent="0.25">
      <c r="A696" t="s">
        <v>1865</v>
      </c>
      <c r="B696" t="s">
        <v>2830</v>
      </c>
      <c r="C696" t="s">
        <v>2831</v>
      </c>
      <c r="D696">
        <v>0</v>
      </c>
      <c r="E696">
        <v>611441.88</v>
      </c>
      <c r="F696">
        <v>0</v>
      </c>
      <c r="G696">
        <v>611441.88</v>
      </c>
    </row>
    <row r="697" spans="1:7" x14ac:dyDescent="0.25">
      <c r="A697" t="s">
        <v>1865</v>
      </c>
      <c r="B697" t="s">
        <v>2832</v>
      </c>
      <c r="C697" t="s">
        <v>2833</v>
      </c>
      <c r="D697">
        <v>0</v>
      </c>
      <c r="E697">
        <v>611441.88</v>
      </c>
      <c r="F697">
        <v>0</v>
      </c>
      <c r="G697">
        <v>611441.88</v>
      </c>
    </row>
    <row r="698" spans="1:7" x14ac:dyDescent="0.25">
      <c r="A698" t="s">
        <v>1865</v>
      </c>
      <c r="B698" t="s">
        <v>2834</v>
      </c>
      <c r="C698" t="s">
        <v>2835</v>
      </c>
      <c r="D698">
        <v>0</v>
      </c>
      <c r="E698">
        <v>611441.88</v>
      </c>
      <c r="F698">
        <v>0</v>
      </c>
      <c r="G698">
        <v>611441.88</v>
      </c>
    </row>
    <row r="699" spans="1:7" x14ac:dyDescent="0.25">
      <c r="A699" t="s">
        <v>1865</v>
      </c>
      <c r="B699" t="s">
        <v>2836</v>
      </c>
      <c r="C699" t="s">
        <v>2837</v>
      </c>
      <c r="D699">
        <v>0</v>
      </c>
      <c r="E699">
        <v>611441.88</v>
      </c>
      <c r="F699">
        <v>0</v>
      </c>
      <c r="G699">
        <v>611441.88</v>
      </c>
    </row>
    <row r="700" spans="1:7" x14ac:dyDescent="0.25">
      <c r="A700" t="s">
        <v>1865</v>
      </c>
      <c r="B700" t="s">
        <v>2838</v>
      </c>
      <c r="C700" t="s">
        <v>2839</v>
      </c>
      <c r="D700">
        <v>0</v>
      </c>
      <c r="E700">
        <v>0</v>
      </c>
      <c r="F700">
        <v>0</v>
      </c>
      <c r="G700">
        <v>0</v>
      </c>
    </row>
    <row r="701" spans="1:7" x14ac:dyDescent="0.25">
      <c r="A701" t="s">
        <v>1865</v>
      </c>
      <c r="B701" t="s">
        <v>2840</v>
      </c>
      <c r="C701" t="s">
        <v>2839</v>
      </c>
      <c r="D701">
        <v>0</v>
      </c>
      <c r="E701">
        <v>0</v>
      </c>
      <c r="F701">
        <v>0</v>
      </c>
      <c r="G701">
        <v>0</v>
      </c>
    </row>
    <row r="702" spans="1:7" x14ac:dyDescent="0.25">
      <c r="A702" t="s">
        <v>1865</v>
      </c>
      <c r="B702" t="s">
        <v>2841</v>
      </c>
      <c r="C702" t="s">
        <v>2839</v>
      </c>
      <c r="D702">
        <v>0</v>
      </c>
      <c r="E702">
        <v>0</v>
      </c>
      <c r="F702">
        <v>0</v>
      </c>
      <c r="G702">
        <v>0</v>
      </c>
    </row>
    <row r="703" spans="1:7" x14ac:dyDescent="0.25">
      <c r="A703" t="s">
        <v>1865</v>
      </c>
      <c r="B703" t="s">
        <v>2842</v>
      </c>
      <c r="C703" t="s">
        <v>2839</v>
      </c>
      <c r="D703">
        <v>0</v>
      </c>
      <c r="E703">
        <v>0</v>
      </c>
      <c r="F703">
        <v>0</v>
      </c>
      <c r="G703">
        <v>0</v>
      </c>
    </row>
    <row r="704" spans="1:7" x14ac:dyDescent="0.25">
      <c r="A704" t="s">
        <v>1865</v>
      </c>
      <c r="B704" t="s">
        <v>698</v>
      </c>
      <c r="C704" t="s">
        <v>1975</v>
      </c>
      <c r="D704">
        <v>0</v>
      </c>
      <c r="E704">
        <v>1042350.55</v>
      </c>
      <c r="F704">
        <v>0</v>
      </c>
      <c r="G704">
        <v>1042350.55</v>
      </c>
    </row>
    <row r="705" spans="1:7" x14ac:dyDescent="0.25">
      <c r="A705" t="s">
        <v>1865</v>
      </c>
      <c r="B705" t="s">
        <v>2843</v>
      </c>
      <c r="C705" t="s">
        <v>1977</v>
      </c>
      <c r="D705">
        <v>0</v>
      </c>
      <c r="E705">
        <v>73670.98</v>
      </c>
      <c r="F705">
        <v>0</v>
      </c>
      <c r="G705">
        <v>73670.98</v>
      </c>
    </row>
    <row r="706" spans="1:7" x14ac:dyDescent="0.25">
      <c r="A706" t="s">
        <v>1865</v>
      </c>
      <c r="B706" t="s">
        <v>2844</v>
      </c>
      <c r="C706" t="s">
        <v>1977</v>
      </c>
      <c r="D706">
        <v>0</v>
      </c>
      <c r="E706">
        <v>73670.98</v>
      </c>
      <c r="F706">
        <v>0</v>
      </c>
      <c r="G706">
        <v>73670.98</v>
      </c>
    </row>
    <row r="707" spans="1:7" x14ac:dyDescent="0.25">
      <c r="A707" t="s">
        <v>1865</v>
      </c>
      <c r="B707" t="s">
        <v>2845</v>
      </c>
      <c r="C707" t="s">
        <v>1977</v>
      </c>
      <c r="D707">
        <v>0</v>
      </c>
      <c r="E707">
        <v>73670.98</v>
      </c>
      <c r="F707">
        <v>0</v>
      </c>
      <c r="G707">
        <v>73670.98</v>
      </c>
    </row>
    <row r="708" spans="1:7" x14ac:dyDescent="0.25">
      <c r="A708" t="s">
        <v>1865</v>
      </c>
      <c r="B708" t="s">
        <v>2846</v>
      </c>
      <c r="C708" t="s">
        <v>1977</v>
      </c>
      <c r="D708">
        <v>0</v>
      </c>
      <c r="E708">
        <v>73670.98</v>
      </c>
      <c r="F708">
        <v>0</v>
      </c>
      <c r="G708">
        <v>73670.98</v>
      </c>
    </row>
    <row r="709" spans="1:7" x14ac:dyDescent="0.25">
      <c r="A709" t="s">
        <v>1865</v>
      </c>
      <c r="B709" t="s">
        <v>2847</v>
      </c>
      <c r="C709" t="s">
        <v>1981</v>
      </c>
      <c r="D709">
        <v>0</v>
      </c>
      <c r="E709">
        <v>895753.5</v>
      </c>
      <c r="F709">
        <v>0</v>
      </c>
      <c r="G709">
        <v>895753.5</v>
      </c>
    </row>
    <row r="710" spans="1:7" x14ac:dyDescent="0.25">
      <c r="A710" t="s">
        <v>1865</v>
      </c>
      <c r="B710" t="s">
        <v>2848</v>
      </c>
      <c r="C710" t="s">
        <v>1981</v>
      </c>
      <c r="D710">
        <v>0</v>
      </c>
      <c r="E710">
        <v>895753.5</v>
      </c>
      <c r="F710">
        <v>0</v>
      </c>
      <c r="G710">
        <v>895753.5</v>
      </c>
    </row>
    <row r="711" spans="1:7" x14ac:dyDescent="0.25">
      <c r="A711" t="s">
        <v>1865</v>
      </c>
      <c r="B711" t="s">
        <v>2849</v>
      </c>
      <c r="C711" t="s">
        <v>1981</v>
      </c>
      <c r="D711">
        <v>0</v>
      </c>
      <c r="E711">
        <v>895753.5</v>
      </c>
      <c r="F711">
        <v>0</v>
      </c>
      <c r="G711">
        <v>895753.5</v>
      </c>
    </row>
    <row r="712" spans="1:7" x14ac:dyDescent="0.25">
      <c r="A712" t="s">
        <v>1865</v>
      </c>
      <c r="B712" t="s">
        <v>2850</v>
      </c>
      <c r="C712" t="s">
        <v>1981</v>
      </c>
      <c r="D712">
        <v>0</v>
      </c>
      <c r="E712">
        <v>895753.5</v>
      </c>
      <c r="F712">
        <v>0</v>
      </c>
      <c r="G712">
        <v>895753.5</v>
      </c>
    </row>
    <row r="713" spans="1:7" x14ac:dyDescent="0.25">
      <c r="A713" t="s">
        <v>1865</v>
      </c>
      <c r="B713" t="s">
        <v>2851</v>
      </c>
      <c r="C713" t="s">
        <v>1815</v>
      </c>
      <c r="D713">
        <v>0</v>
      </c>
      <c r="E713">
        <v>27825.8</v>
      </c>
      <c r="F713">
        <v>0</v>
      </c>
      <c r="G713">
        <v>27825.8</v>
      </c>
    </row>
    <row r="714" spans="1:7" x14ac:dyDescent="0.25">
      <c r="A714" t="s">
        <v>1865</v>
      </c>
      <c r="B714" t="s">
        <v>2852</v>
      </c>
      <c r="C714" t="s">
        <v>1815</v>
      </c>
      <c r="D714">
        <v>0</v>
      </c>
      <c r="E714">
        <v>27825.8</v>
      </c>
      <c r="F714">
        <v>0</v>
      </c>
      <c r="G714">
        <v>27825.8</v>
      </c>
    </row>
    <row r="715" spans="1:7" x14ac:dyDescent="0.25">
      <c r="A715" t="s">
        <v>1865</v>
      </c>
      <c r="B715" t="s">
        <v>2853</v>
      </c>
      <c r="C715" t="s">
        <v>1815</v>
      </c>
      <c r="D715">
        <v>0</v>
      </c>
      <c r="E715">
        <v>27825.8</v>
      </c>
      <c r="F715">
        <v>0</v>
      </c>
      <c r="G715">
        <v>27825.8</v>
      </c>
    </row>
    <row r="716" spans="1:7" x14ac:dyDescent="0.25">
      <c r="A716" t="s">
        <v>1865</v>
      </c>
      <c r="B716" t="s">
        <v>2854</v>
      </c>
      <c r="C716" t="s">
        <v>1815</v>
      </c>
      <c r="D716">
        <v>0</v>
      </c>
      <c r="E716">
        <v>27825.8</v>
      </c>
      <c r="F716">
        <v>0</v>
      </c>
      <c r="G716">
        <v>27825.8</v>
      </c>
    </row>
    <row r="717" spans="1:7" x14ac:dyDescent="0.25">
      <c r="A717" t="s">
        <v>1865</v>
      </c>
      <c r="B717" t="s">
        <v>2855</v>
      </c>
      <c r="C717" t="s">
        <v>2856</v>
      </c>
      <c r="D717">
        <v>0</v>
      </c>
      <c r="E717">
        <v>0</v>
      </c>
      <c r="F717">
        <v>0</v>
      </c>
      <c r="G717">
        <v>0</v>
      </c>
    </row>
    <row r="718" spans="1:7" x14ac:dyDescent="0.25">
      <c r="A718" t="s">
        <v>1865</v>
      </c>
      <c r="B718" t="s">
        <v>2857</v>
      </c>
      <c r="C718" t="s">
        <v>2856</v>
      </c>
      <c r="D718">
        <v>0</v>
      </c>
      <c r="E718">
        <v>0</v>
      </c>
      <c r="F718">
        <v>0</v>
      </c>
      <c r="G718">
        <v>0</v>
      </c>
    </row>
    <row r="719" spans="1:7" x14ac:dyDescent="0.25">
      <c r="A719" t="s">
        <v>1865</v>
      </c>
      <c r="B719" t="s">
        <v>2858</v>
      </c>
      <c r="C719" t="s">
        <v>2856</v>
      </c>
      <c r="D719">
        <v>0</v>
      </c>
      <c r="E719">
        <v>0</v>
      </c>
      <c r="F719">
        <v>0</v>
      </c>
      <c r="G719">
        <v>0</v>
      </c>
    </row>
    <row r="720" spans="1:7" x14ac:dyDescent="0.25">
      <c r="A720" t="s">
        <v>1865</v>
      </c>
      <c r="B720" t="s">
        <v>2859</v>
      </c>
      <c r="C720" t="s">
        <v>2856</v>
      </c>
      <c r="D720">
        <v>0</v>
      </c>
      <c r="E720">
        <v>0</v>
      </c>
      <c r="F720">
        <v>0</v>
      </c>
      <c r="G720">
        <v>0</v>
      </c>
    </row>
    <row r="721" spans="1:7" x14ac:dyDescent="0.25">
      <c r="A721" t="s">
        <v>1865</v>
      </c>
      <c r="B721" t="s">
        <v>2860</v>
      </c>
      <c r="C721" t="s">
        <v>1988</v>
      </c>
      <c r="D721">
        <v>0</v>
      </c>
      <c r="E721">
        <v>45100.27</v>
      </c>
      <c r="F721">
        <v>0</v>
      </c>
      <c r="G721">
        <v>45100.27</v>
      </c>
    </row>
    <row r="722" spans="1:7" x14ac:dyDescent="0.25">
      <c r="A722" t="s">
        <v>1865</v>
      </c>
      <c r="B722" t="s">
        <v>2861</v>
      </c>
      <c r="C722" t="s">
        <v>1988</v>
      </c>
      <c r="D722">
        <v>0</v>
      </c>
      <c r="E722">
        <v>45100.27</v>
      </c>
      <c r="F722">
        <v>0</v>
      </c>
      <c r="G722">
        <v>45100.27</v>
      </c>
    </row>
    <row r="723" spans="1:7" x14ac:dyDescent="0.25">
      <c r="A723" t="s">
        <v>1865</v>
      </c>
      <c r="B723" t="s">
        <v>2862</v>
      </c>
      <c r="C723" t="s">
        <v>1988</v>
      </c>
      <c r="D723">
        <v>0</v>
      </c>
      <c r="E723">
        <v>45100.27</v>
      </c>
      <c r="F723">
        <v>0</v>
      </c>
      <c r="G723">
        <v>45100.27</v>
      </c>
    </row>
    <row r="724" spans="1:7" x14ac:dyDescent="0.25">
      <c r="A724" t="s">
        <v>1865</v>
      </c>
      <c r="B724" t="s">
        <v>2863</v>
      </c>
      <c r="C724" t="s">
        <v>1991</v>
      </c>
      <c r="D724">
        <v>0</v>
      </c>
      <c r="E724">
        <v>45100.27</v>
      </c>
      <c r="F724">
        <v>0</v>
      </c>
      <c r="G724">
        <v>45100.27</v>
      </c>
    </row>
    <row r="725" spans="1:7" x14ac:dyDescent="0.25">
      <c r="A725" t="s">
        <v>1865</v>
      </c>
      <c r="B725" t="s">
        <v>700</v>
      </c>
      <c r="C725" t="s">
        <v>2864</v>
      </c>
      <c r="D725">
        <v>0</v>
      </c>
      <c r="E725">
        <v>46624771.509999998</v>
      </c>
      <c r="F725">
        <v>0</v>
      </c>
      <c r="G725">
        <v>46624771.509999998</v>
      </c>
    </row>
    <row r="726" spans="1:7" x14ac:dyDescent="0.25">
      <c r="A726" t="s">
        <v>1865</v>
      </c>
      <c r="B726" t="s">
        <v>703</v>
      </c>
      <c r="C726" t="s">
        <v>2865</v>
      </c>
      <c r="D726">
        <v>0</v>
      </c>
      <c r="E726">
        <v>46624771.509999998</v>
      </c>
      <c r="F726">
        <v>0</v>
      </c>
      <c r="G726">
        <v>46624771.509999998</v>
      </c>
    </row>
    <row r="727" spans="1:7" x14ac:dyDescent="0.25">
      <c r="A727" t="s">
        <v>1865</v>
      </c>
      <c r="B727" t="s">
        <v>2866</v>
      </c>
      <c r="C727" t="s">
        <v>2867</v>
      </c>
      <c r="D727">
        <v>0</v>
      </c>
      <c r="E727">
        <v>40333335.079999998</v>
      </c>
      <c r="F727">
        <v>0</v>
      </c>
      <c r="G727">
        <v>40333335.079999998</v>
      </c>
    </row>
    <row r="728" spans="1:7" x14ac:dyDescent="0.25">
      <c r="A728" t="s">
        <v>1865</v>
      </c>
      <c r="B728" t="s">
        <v>2868</v>
      </c>
      <c r="C728" t="s">
        <v>2869</v>
      </c>
      <c r="D728">
        <v>0</v>
      </c>
      <c r="E728">
        <v>22243492.100000001</v>
      </c>
      <c r="F728">
        <v>0</v>
      </c>
      <c r="G728">
        <v>22243492.100000001</v>
      </c>
    </row>
    <row r="729" spans="1:7" x14ac:dyDescent="0.25">
      <c r="A729" t="s">
        <v>1865</v>
      </c>
      <c r="B729" t="s">
        <v>2870</v>
      </c>
      <c r="C729" t="s">
        <v>2869</v>
      </c>
      <c r="D729">
        <v>0</v>
      </c>
      <c r="E729">
        <v>22243492.100000001</v>
      </c>
      <c r="F729">
        <v>0</v>
      </c>
      <c r="G729">
        <v>22243492.100000001</v>
      </c>
    </row>
    <row r="730" spans="1:7" x14ac:dyDescent="0.25">
      <c r="A730" t="s">
        <v>1865</v>
      </c>
      <c r="B730" t="s">
        <v>2871</v>
      </c>
      <c r="C730" t="s">
        <v>2869</v>
      </c>
      <c r="D730">
        <v>0</v>
      </c>
      <c r="E730">
        <v>22243492.100000001</v>
      </c>
      <c r="F730">
        <v>0</v>
      </c>
      <c r="G730">
        <v>22243492.100000001</v>
      </c>
    </row>
    <row r="731" spans="1:7" x14ac:dyDescent="0.25">
      <c r="A731" t="s">
        <v>1865</v>
      </c>
      <c r="B731" t="s">
        <v>2872</v>
      </c>
      <c r="C731" t="s">
        <v>2873</v>
      </c>
      <c r="D731">
        <v>0</v>
      </c>
      <c r="E731">
        <v>929844.48</v>
      </c>
      <c r="F731">
        <v>0</v>
      </c>
      <c r="G731">
        <v>929844.48</v>
      </c>
    </row>
    <row r="732" spans="1:7" x14ac:dyDescent="0.25">
      <c r="A732" t="s">
        <v>1865</v>
      </c>
      <c r="B732" t="s">
        <v>2874</v>
      </c>
      <c r="C732" t="s">
        <v>2875</v>
      </c>
      <c r="D732">
        <v>0</v>
      </c>
      <c r="E732">
        <v>929844.48</v>
      </c>
      <c r="F732">
        <v>0</v>
      </c>
      <c r="G732">
        <v>929844.48</v>
      </c>
    </row>
    <row r="733" spans="1:7" x14ac:dyDescent="0.25">
      <c r="A733" t="s">
        <v>1865</v>
      </c>
      <c r="B733" t="s">
        <v>2876</v>
      </c>
      <c r="C733" t="s">
        <v>2877</v>
      </c>
      <c r="D733">
        <v>0</v>
      </c>
      <c r="E733">
        <v>929844.48</v>
      </c>
      <c r="F733">
        <v>0</v>
      </c>
      <c r="G733">
        <v>929844.48</v>
      </c>
    </row>
    <row r="734" spans="1:7" x14ac:dyDescent="0.25">
      <c r="A734" t="s">
        <v>1865</v>
      </c>
      <c r="B734" t="s">
        <v>2878</v>
      </c>
      <c r="C734" t="s">
        <v>2879</v>
      </c>
      <c r="D734">
        <v>0</v>
      </c>
      <c r="E734">
        <v>362033.76</v>
      </c>
      <c r="F734">
        <v>0</v>
      </c>
      <c r="G734">
        <v>362033.76</v>
      </c>
    </row>
    <row r="735" spans="1:7" x14ac:dyDescent="0.25">
      <c r="A735" t="s">
        <v>1865</v>
      </c>
      <c r="B735" t="s">
        <v>2880</v>
      </c>
      <c r="C735" t="s">
        <v>2881</v>
      </c>
      <c r="D735">
        <v>0</v>
      </c>
      <c r="E735">
        <v>362033.76</v>
      </c>
      <c r="F735">
        <v>0</v>
      </c>
      <c r="G735">
        <v>362033.76</v>
      </c>
    </row>
    <row r="736" spans="1:7" x14ac:dyDescent="0.25">
      <c r="A736" t="s">
        <v>1865</v>
      </c>
      <c r="B736" t="s">
        <v>2882</v>
      </c>
      <c r="C736" t="s">
        <v>2883</v>
      </c>
      <c r="D736">
        <v>0</v>
      </c>
      <c r="E736">
        <v>362033.76</v>
      </c>
      <c r="F736">
        <v>0</v>
      </c>
      <c r="G736">
        <v>362033.76</v>
      </c>
    </row>
    <row r="737" spans="1:7" x14ac:dyDescent="0.25">
      <c r="A737" t="s">
        <v>1865</v>
      </c>
      <c r="B737" t="s">
        <v>2884</v>
      </c>
      <c r="C737" t="s">
        <v>2885</v>
      </c>
      <c r="D737">
        <v>0</v>
      </c>
      <c r="E737">
        <v>1413731.79</v>
      </c>
      <c r="F737">
        <v>0</v>
      </c>
      <c r="G737">
        <v>1413731.79</v>
      </c>
    </row>
    <row r="738" spans="1:7" x14ac:dyDescent="0.25">
      <c r="A738" t="s">
        <v>1865</v>
      </c>
      <c r="B738" t="s">
        <v>2886</v>
      </c>
      <c r="C738" t="s">
        <v>2885</v>
      </c>
      <c r="D738">
        <v>0</v>
      </c>
      <c r="E738">
        <v>1413731.79</v>
      </c>
      <c r="F738">
        <v>0</v>
      </c>
      <c r="G738">
        <v>1413731.79</v>
      </c>
    </row>
    <row r="739" spans="1:7" x14ac:dyDescent="0.25">
      <c r="A739" t="s">
        <v>1865</v>
      </c>
      <c r="B739" t="s">
        <v>2887</v>
      </c>
      <c r="C739" t="s">
        <v>2885</v>
      </c>
      <c r="D739">
        <v>0</v>
      </c>
      <c r="E739">
        <v>1413731.79</v>
      </c>
      <c r="F739">
        <v>0</v>
      </c>
      <c r="G739">
        <v>1413731.79</v>
      </c>
    </row>
    <row r="740" spans="1:7" x14ac:dyDescent="0.25">
      <c r="A740" t="s">
        <v>1865</v>
      </c>
      <c r="B740" t="s">
        <v>2888</v>
      </c>
      <c r="C740" t="s">
        <v>2889</v>
      </c>
      <c r="D740">
        <v>0</v>
      </c>
      <c r="E740">
        <v>4843358.55</v>
      </c>
      <c r="F740">
        <v>0</v>
      </c>
      <c r="G740">
        <v>4843358.55</v>
      </c>
    </row>
    <row r="741" spans="1:7" x14ac:dyDescent="0.25">
      <c r="A741" t="s">
        <v>1865</v>
      </c>
      <c r="B741" t="s">
        <v>2890</v>
      </c>
      <c r="C741" t="s">
        <v>2891</v>
      </c>
      <c r="D741">
        <v>0</v>
      </c>
      <c r="E741">
        <v>4843358.55</v>
      </c>
      <c r="F741">
        <v>0</v>
      </c>
      <c r="G741">
        <v>4843358.55</v>
      </c>
    </row>
    <row r="742" spans="1:7" x14ac:dyDescent="0.25">
      <c r="A742" t="s">
        <v>1865</v>
      </c>
      <c r="B742" t="s">
        <v>2892</v>
      </c>
      <c r="C742" t="s">
        <v>2893</v>
      </c>
      <c r="D742">
        <v>0</v>
      </c>
      <c r="E742">
        <v>4843358.55</v>
      </c>
      <c r="F742">
        <v>0</v>
      </c>
      <c r="G742">
        <v>4843358.55</v>
      </c>
    </row>
    <row r="743" spans="1:7" x14ac:dyDescent="0.25">
      <c r="A743" t="s">
        <v>1865</v>
      </c>
      <c r="B743" t="s">
        <v>2894</v>
      </c>
      <c r="C743" t="s">
        <v>2895</v>
      </c>
      <c r="D743">
        <v>0</v>
      </c>
      <c r="E743">
        <v>10207384.93</v>
      </c>
      <c r="F743">
        <v>0</v>
      </c>
      <c r="G743">
        <v>10207384.93</v>
      </c>
    </row>
    <row r="744" spans="1:7" x14ac:dyDescent="0.25">
      <c r="A744" t="s">
        <v>1865</v>
      </c>
      <c r="B744" t="s">
        <v>2896</v>
      </c>
      <c r="C744" t="s">
        <v>2895</v>
      </c>
      <c r="D744">
        <v>0</v>
      </c>
      <c r="E744">
        <v>10207384.93</v>
      </c>
      <c r="F744">
        <v>0</v>
      </c>
      <c r="G744">
        <v>10207384.93</v>
      </c>
    </row>
    <row r="745" spans="1:7" x14ac:dyDescent="0.25">
      <c r="A745" t="s">
        <v>1865</v>
      </c>
      <c r="B745" t="s">
        <v>2897</v>
      </c>
      <c r="C745" t="s">
        <v>2895</v>
      </c>
      <c r="D745">
        <v>0</v>
      </c>
      <c r="E745">
        <v>10207384.93</v>
      </c>
      <c r="F745">
        <v>0</v>
      </c>
      <c r="G745">
        <v>10207384.93</v>
      </c>
    </row>
    <row r="746" spans="1:7" x14ac:dyDescent="0.25">
      <c r="A746" t="s">
        <v>1865</v>
      </c>
      <c r="B746" t="s">
        <v>2898</v>
      </c>
      <c r="C746" t="s">
        <v>2899</v>
      </c>
      <c r="D746">
        <v>0</v>
      </c>
      <c r="E746">
        <v>24624.7</v>
      </c>
      <c r="F746">
        <v>0</v>
      </c>
      <c r="G746">
        <v>24624.7</v>
      </c>
    </row>
    <row r="747" spans="1:7" x14ac:dyDescent="0.25">
      <c r="A747" t="s">
        <v>1865</v>
      </c>
      <c r="B747" t="s">
        <v>2900</v>
      </c>
      <c r="C747" t="s">
        <v>2901</v>
      </c>
      <c r="D747">
        <v>0</v>
      </c>
      <c r="E747">
        <v>24624.7</v>
      </c>
      <c r="F747">
        <v>0</v>
      </c>
      <c r="G747">
        <v>24624.7</v>
      </c>
    </row>
    <row r="748" spans="1:7" x14ac:dyDescent="0.25">
      <c r="A748" t="s">
        <v>1865</v>
      </c>
      <c r="B748" t="s">
        <v>2902</v>
      </c>
      <c r="C748" t="s">
        <v>2903</v>
      </c>
      <c r="D748">
        <v>0</v>
      </c>
      <c r="E748">
        <v>24624.7</v>
      </c>
      <c r="F748">
        <v>0</v>
      </c>
      <c r="G748">
        <v>24624.7</v>
      </c>
    </row>
    <row r="749" spans="1:7" x14ac:dyDescent="0.25">
      <c r="A749" t="s">
        <v>1865</v>
      </c>
      <c r="B749" t="s">
        <v>2904</v>
      </c>
      <c r="C749" t="s">
        <v>2905</v>
      </c>
      <c r="D749">
        <v>0</v>
      </c>
      <c r="E749">
        <v>227814.01</v>
      </c>
      <c r="F749">
        <v>0</v>
      </c>
      <c r="G749">
        <v>227814.01</v>
      </c>
    </row>
    <row r="750" spans="1:7" x14ac:dyDescent="0.25">
      <c r="A750" t="s">
        <v>1865</v>
      </c>
      <c r="B750" t="s">
        <v>2906</v>
      </c>
      <c r="C750" t="s">
        <v>2907</v>
      </c>
      <c r="D750">
        <v>0</v>
      </c>
      <c r="E750">
        <v>227814.01</v>
      </c>
      <c r="F750">
        <v>0</v>
      </c>
      <c r="G750">
        <v>227814.01</v>
      </c>
    </row>
    <row r="751" spans="1:7" x14ac:dyDescent="0.25">
      <c r="A751" t="s">
        <v>1865</v>
      </c>
      <c r="B751" t="s">
        <v>2908</v>
      </c>
      <c r="C751" t="s">
        <v>2909</v>
      </c>
      <c r="D751">
        <v>0</v>
      </c>
      <c r="E751">
        <v>227814.01</v>
      </c>
      <c r="F751">
        <v>0</v>
      </c>
      <c r="G751">
        <v>227814.01</v>
      </c>
    </row>
    <row r="752" spans="1:7" x14ac:dyDescent="0.25">
      <c r="A752" t="s">
        <v>1865</v>
      </c>
      <c r="B752" t="s">
        <v>2910</v>
      </c>
      <c r="C752" t="s">
        <v>2911</v>
      </c>
      <c r="D752">
        <v>0</v>
      </c>
      <c r="E752">
        <v>77257.899999999994</v>
      </c>
      <c r="F752">
        <v>0</v>
      </c>
      <c r="G752">
        <v>77257.899999999994</v>
      </c>
    </row>
    <row r="753" spans="1:7" x14ac:dyDescent="0.25">
      <c r="A753" t="s">
        <v>1865</v>
      </c>
      <c r="B753" t="s">
        <v>2912</v>
      </c>
      <c r="C753" t="s">
        <v>2911</v>
      </c>
      <c r="D753">
        <v>0</v>
      </c>
      <c r="E753">
        <v>77257.899999999994</v>
      </c>
      <c r="F753">
        <v>0</v>
      </c>
      <c r="G753">
        <v>77257.899999999994</v>
      </c>
    </row>
    <row r="754" spans="1:7" x14ac:dyDescent="0.25">
      <c r="A754" t="s">
        <v>1865</v>
      </c>
      <c r="B754" t="s">
        <v>2913</v>
      </c>
      <c r="C754" t="s">
        <v>2911</v>
      </c>
      <c r="D754">
        <v>0</v>
      </c>
      <c r="E754">
        <v>77257.899999999994</v>
      </c>
      <c r="F754">
        <v>0</v>
      </c>
      <c r="G754">
        <v>77257.899999999994</v>
      </c>
    </row>
    <row r="755" spans="1:7" x14ac:dyDescent="0.25">
      <c r="A755" t="s">
        <v>1865</v>
      </c>
      <c r="B755" t="s">
        <v>2914</v>
      </c>
      <c r="C755" t="s">
        <v>2915</v>
      </c>
      <c r="D755">
        <v>0</v>
      </c>
      <c r="E755">
        <v>3792.86</v>
      </c>
      <c r="F755">
        <v>0</v>
      </c>
      <c r="G755">
        <v>3792.86</v>
      </c>
    </row>
    <row r="756" spans="1:7" x14ac:dyDescent="0.25">
      <c r="A756" t="s">
        <v>1865</v>
      </c>
      <c r="B756" t="s">
        <v>2916</v>
      </c>
      <c r="C756" t="s">
        <v>2915</v>
      </c>
      <c r="D756">
        <v>0</v>
      </c>
      <c r="E756">
        <v>3792.86</v>
      </c>
      <c r="F756">
        <v>0</v>
      </c>
      <c r="G756">
        <v>3792.86</v>
      </c>
    </row>
    <row r="757" spans="1:7" x14ac:dyDescent="0.25">
      <c r="A757" t="s">
        <v>1865</v>
      </c>
      <c r="B757" t="s">
        <v>2917</v>
      </c>
      <c r="C757" t="s">
        <v>2915</v>
      </c>
      <c r="D757">
        <v>0</v>
      </c>
      <c r="E757">
        <v>3792.86</v>
      </c>
      <c r="F757">
        <v>0</v>
      </c>
      <c r="G757">
        <v>3792.86</v>
      </c>
    </row>
    <row r="758" spans="1:7" x14ac:dyDescent="0.25">
      <c r="A758" t="s">
        <v>1865</v>
      </c>
      <c r="B758" t="s">
        <v>2918</v>
      </c>
      <c r="C758" t="s">
        <v>2919</v>
      </c>
      <c r="D758">
        <v>0</v>
      </c>
      <c r="E758">
        <v>6291436.4299999997</v>
      </c>
      <c r="F758">
        <v>0</v>
      </c>
      <c r="G758">
        <v>6291436.4299999997</v>
      </c>
    </row>
    <row r="759" spans="1:7" x14ac:dyDescent="0.25">
      <c r="A759" t="s">
        <v>1865</v>
      </c>
      <c r="B759" t="s">
        <v>2920</v>
      </c>
      <c r="C759" t="s">
        <v>2921</v>
      </c>
      <c r="D759">
        <v>0</v>
      </c>
      <c r="E759">
        <v>5892422</v>
      </c>
      <c r="F759">
        <v>0</v>
      </c>
      <c r="G759">
        <v>5892422</v>
      </c>
    </row>
    <row r="760" spans="1:7" x14ac:dyDescent="0.25">
      <c r="A760" t="s">
        <v>1865</v>
      </c>
      <c r="B760" t="s">
        <v>2922</v>
      </c>
      <c r="C760" t="s">
        <v>2921</v>
      </c>
      <c r="D760">
        <v>0</v>
      </c>
      <c r="E760">
        <v>5892422</v>
      </c>
      <c r="F760">
        <v>0</v>
      </c>
      <c r="G760">
        <v>5892422</v>
      </c>
    </row>
    <row r="761" spans="1:7" x14ac:dyDescent="0.25">
      <c r="A761" t="s">
        <v>1865</v>
      </c>
      <c r="B761" t="s">
        <v>2923</v>
      </c>
      <c r="C761" t="s">
        <v>2921</v>
      </c>
      <c r="D761">
        <v>0</v>
      </c>
      <c r="E761">
        <v>5892422</v>
      </c>
      <c r="F761">
        <v>0</v>
      </c>
      <c r="G761">
        <v>5892422</v>
      </c>
    </row>
    <row r="762" spans="1:7" x14ac:dyDescent="0.25">
      <c r="A762" t="s">
        <v>1865</v>
      </c>
      <c r="B762" t="s">
        <v>2924</v>
      </c>
      <c r="C762" t="s">
        <v>2925</v>
      </c>
      <c r="D762">
        <v>0</v>
      </c>
      <c r="E762">
        <v>399014.43</v>
      </c>
      <c r="F762">
        <v>0</v>
      </c>
      <c r="G762">
        <v>399014.43</v>
      </c>
    </row>
    <row r="763" spans="1:7" x14ac:dyDescent="0.25">
      <c r="A763" t="s">
        <v>1865</v>
      </c>
      <c r="B763" t="s">
        <v>2926</v>
      </c>
      <c r="C763" t="s">
        <v>2925</v>
      </c>
      <c r="D763">
        <v>0</v>
      </c>
      <c r="E763">
        <v>399014.43</v>
      </c>
      <c r="F763">
        <v>0</v>
      </c>
      <c r="G763">
        <v>399014.43</v>
      </c>
    </row>
    <row r="764" spans="1:7" x14ac:dyDescent="0.25">
      <c r="A764" t="s">
        <v>1865</v>
      </c>
      <c r="B764" t="s">
        <v>2927</v>
      </c>
      <c r="C764" t="s">
        <v>2925</v>
      </c>
      <c r="D764">
        <v>0</v>
      </c>
      <c r="E764">
        <v>399014.43</v>
      </c>
      <c r="F764">
        <v>0</v>
      </c>
      <c r="G764">
        <v>399014.43</v>
      </c>
    </row>
    <row r="765" spans="1:7" x14ac:dyDescent="0.25">
      <c r="A765" t="s">
        <v>1865</v>
      </c>
      <c r="B765" t="s">
        <v>707</v>
      </c>
      <c r="C765" t="s">
        <v>2928</v>
      </c>
      <c r="D765">
        <v>0</v>
      </c>
      <c r="E765">
        <v>109609253.43000001</v>
      </c>
      <c r="F765">
        <v>0</v>
      </c>
      <c r="G765">
        <v>109609253.43000001</v>
      </c>
    </row>
    <row r="766" spans="1:7" x14ac:dyDescent="0.25">
      <c r="A766" t="s">
        <v>1865</v>
      </c>
      <c r="B766" t="s">
        <v>710</v>
      </c>
      <c r="C766" t="s">
        <v>2929</v>
      </c>
      <c r="D766">
        <v>0</v>
      </c>
      <c r="E766">
        <v>109609253.43000001</v>
      </c>
      <c r="F766">
        <v>0</v>
      </c>
      <c r="G766">
        <v>109609253.43000001</v>
      </c>
    </row>
    <row r="767" spans="1:7" x14ac:dyDescent="0.25">
      <c r="A767" t="s">
        <v>1865</v>
      </c>
      <c r="B767" t="s">
        <v>2930</v>
      </c>
      <c r="C767" t="s">
        <v>2931</v>
      </c>
      <c r="D767">
        <v>0</v>
      </c>
      <c r="E767">
        <v>109609253.43000001</v>
      </c>
      <c r="F767">
        <v>0</v>
      </c>
      <c r="G767">
        <v>109609253.43000001</v>
      </c>
    </row>
    <row r="768" spans="1:7" x14ac:dyDescent="0.25">
      <c r="A768" t="s">
        <v>1865</v>
      </c>
      <c r="B768" t="s">
        <v>2932</v>
      </c>
      <c r="C768" t="s">
        <v>2933</v>
      </c>
      <c r="D768">
        <v>0</v>
      </c>
      <c r="E768">
        <v>109609253.43000001</v>
      </c>
      <c r="F768">
        <v>0</v>
      </c>
      <c r="G768">
        <v>109609253.43000001</v>
      </c>
    </row>
    <row r="769" spans="1:7" x14ac:dyDescent="0.25">
      <c r="A769" t="s">
        <v>1865</v>
      </c>
      <c r="B769" t="s">
        <v>2934</v>
      </c>
      <c r="C769" t="s">
        <v>2933</v>
      </c>
      <c r="D769">
        <v>0</v>
      </c>
      <c r="E769">
        <v>109609253.43000001</v>
      </c>
      <c r="F769">
        <v>0</v>
      </c>
      <c r="G769">
        <v>109609253.43000001</v>
      </c>
    </row>
    <row r="770" spans="1:7" x14ac:dyDescent="0.25">
      <c r="A770" t="s">
        <v>1865</v>
      </c>
      <c r="B770" t="s">
        <v>2935</v>
      </c>
      <c r="C770" t="s">
        <v>2933</v>
      </c>
      <c r="D770">
        <v>0</v>
      </c>
      <c r="E770">
        <v>109609253.43000001</v>
      </c>
      <c r="F770">
        <v>0</v>
      </c>
      <c r="G770">
        <v>109609253.43000001</v>
      </c>
    </row>
    <row r="771" spans="1:7" x14ac:dyDescent="0.25">
      <c r="A771" t="s">
        <v>1865</v>
      </c>
      <c r="B771" t="s">
        <v>714</v>
      </c>
      <c r="C771" t="s">
        <v>2936</v>
      </c>
      <c r="D771">
        <v>0</v>
      </c>
      <c r="E771">
        <v>208319</v>
      </c>
      <c r="F771">
        <v>0</v>
      </c>
      <c r="G771">
        <v>208319</v>
      </c>
    </row>
    <row r="772" spans="1:7" x14ac:dyDescent="0.25">
      <c r="A772" t="s">
        <v>1865</v>
      </c>
      <c r="B772" t="s">
        <v>717</v>
      </c>
      <c r="C772" t="s">
        <v>2937</v>
      </c>
      <c r="D772">
        <v>0</v>
      </c>
      <c r="E772">
        <v>208319</v>
      </c>
      <c r="F772">
        <v>0</v>
      </c>
      <c r="G772">
        <v>208319</v>
      </c>
    </row>
    <row r="773" spans="1:7" x14ac:dyDescent="0.25">
      <c r="A773" t="s">
        <v>1865</v>
      </c>
      <c r="B773" t="s">
        <v>2938</v>
      </c>
      <c r="C773" t="s">
        <v>2939</v>
      </c>
      <c r="D773">
        <v>0</v>
      </c>
      <c r="E773">
        <v>208319</v>
      </c>
      <c r="F773">
        <v>0</v>
      </c>
      <c r="G773">
        <v>208319</v>
      </c>
    </row>
    <row r="774" spans="1:7" x14ac:dyDescent="0.25">
      <c r="A774" t="s">
        <v>1865</v>
      </c>
      <c r="B774" t="s">
        <v>2940</v>
      </c>
      <c r="C774" t="s">
        <v>2939</v>
      </c>
      <c r="D774">
        <v>0</v>
      </c>
      <c r="E774">
        <v>208319</v>
      </c>
      <c r="F774">
        <v>0</v>
      </c>
      <c r="G774">
        <v>208319</v>
      </c>
    </row>
    <row r="775" spans="1:7" x14ac:dyDescent="0.25">
      <c r="A775" t="s">
        <v>1865</v>
      </c>
      <c r="B775" t="s">
        <v>2941</v>
      </c>
      <c r="C775" t="s">
        <v>2939</v>
      </c>
      <c r="D775">
        <v>0</v>
      </c>
      <c r="E775">
        <v>208319</v>
      </c>
      <c r="F775">
        <v>0</v>
      </c>
      <c r="G775">
        <v>208319</v>
      </c>
    </row>
    <row r="776" spans="1:7" x14ac:dyDescent="0.25">
      <c r="A776" t="s">
        <v>1865</v>
      </c>
      <c r="B776" t="s">
        <v>2942</v>
      </c>
      <c r="C776" t="s">
        <v>2939</v>
      </c>
      <c r="D776">
        <v>0</v>
      </c>
      <c r="E776">
        <v>208319</v>
      </c>
      <c r="F776">
        <v>0</v>
      </c>
      <c r="G776">
        <v>208319</v>
      </c>
    </row>
    <row r="777" spans="1:7" x14ac:dyDescent="0.25">
      <c r="A777" t="s">
        <v>1865</v>
      </c>
      <c r="B777" t="s">
        <v>730</v>
      </c>
      <c r="C777" t="s">
        <v>2943</v>
      </c>
      <c r="D777">
        <v>0</v>
      </c>
      <c r="E777">
        <v>0</v>
      </c>
      <c r="F777">
        <v>0</v>
      </c>
      <c r="G777">
        <v>0</v>
      </c>
    </row>
    <row r="778" spans="1:7" x14ac:dyDescent="0.25">
      <c r="A778" t="s">
        <v>1865</v>
      </c>
      <c r="B778" t="s">
        <v>733</v>
      </c>
      <c r="C778" t="s">
        <v>2944</v>
      </c>
      <c r="D778">
        <v>0</v>
      </c>
      <c r="E778">
        <v>0</v>
      </c>
      <c r="F778">
        <v>0</v>
      </c>
      <c r="G778">
        <v>0</v>
      </c>
    </row>
    <row r="779" spans="1:7" x14ac:dyDescent="0.25">
      <c r="A779" t="s">
        <v>1865</v>
      </c>
      <c r="B779" t="s">
        <v>2945</v>
      </c>
      <c r="C779" t="s">
        <v>2946</v>
      </c>
      <c r="D779">
        <v>0</v>
      </c>
      <c r="E779">
        <v>0</v>
      </c>
      <c r="F779">
        <v>0</v>
      </c>
      <c r="G779">
        <v>0</v>
      </c>
    </row>
    <row r="780" spans="1:7" x14ac:dyDescent="0.25">
      <c r="A780" t="s">
        <v>1865</v>
      </c>
      <c r="B780" t="s">
        <v>2947</v>
      </c>
      <c r="C780" t="s">
        <v>2946</v>
      </c>
      <c r="D780">
        <v>0</v>
      </c>
      <c r="E780">
        <v>0</v>
      </c>
      <c r="F780">
        <v>0</v>
      </c>
      <c r="G780">
        <v>0</v>
      </c>
    </row>
    <row r="781" spans="1:7" x14ac:dyDescent="0.25">
      <c r="A781" t="s">
        <v>1865</v>
      </c>
      <c r="B781" t="s">
        <v>2948</v>
      </c>
      <c r="C781" t="s">
        <v>2946</v>
      </c>
      <c r="D781">
        <v>0</v>
      </c>
      <c r="E781">
        <v>0</v>
      </c>
      <c r="F781">
        <v>0</v>
      </c>
      <c r="G781">
        <v>0</v>
      </c>
    </row>
    <row r="782" spans="1:7" x14ac:dyDescent="0.25">
      <c r="A782" t="s">
        <v>1865</v>
      </c>
      <c r="B782" t="s">
        <v>2949</v>
      </c>
      <c r="C782" t="s">
        <v>2946</v>
      </c>
      <c r="D782">
        <v>0</v>
      </c>
      <c r="E782">
        <v>0</v>
      </c>
      <c r="F782">
        <v>0</v>
      </c>
      <c r="G782">
        <v>0</v>
      </c>
    </row>
    <row r="783" spans="1:7" x14ac:dyDescent="0.25">
      <c r="A783" t="s">
        <v>1865</v>
      </c>
      <c r="B783" t="s">
        <v>800</v>
      </c>
      <c r="C783" t="s">
        <v>2481</v>
      </c>
      <c r="D783">
        <v>0</v>
      </c>
      <c r="E783">
        <v>1002790207.7400001</v>
      </c>
      <c r="F783">
        <v>324419052.94999999</v>
      </c>
      <c r="G783">
        <v>678371154.78999996</v>
      </c>
    </row>
    <row r="784" spans="1:7" x14ac:dyDescent="0.25">
      <c r="A784" t="s">
        <v>1865</v>
      </c>
      <c r="B784" t="s">
        <v>801</v>
      </c>
      <c r="C784" t="s">
        <v>1830</v>
      </c>
      <c r="D784">
        <v>0</v>
      </c>
      <c r="E784">
        <v>970752737.91000009</v>
      </c>
      <c r="F784">
        <v>292381583.12</v>
      </c>
      <c r="G784">
        <v>678371154.78999996</v>
      </c>
    </row>
    <row r="785" spans="1:7" x14ac:dyDescent="0.25">
      <c r="A785" t="s">
        <v>1865</v>
      </c>
      <c r="B785" t="s">
        <v>803</v>
      </c>
      <c r="C785" t="s">
        <v>2950</v>
      </c>
      <c r="D785">
        <v>0</v>
      </c>
      <c r="E785">
        <v>289667015.43000001</v>
      </c>
      <c r="F785">
        <v>8179479.7999999998</v>
      </c>
      <c r="G785">
        <v>281487535.63</v>
      </c>
    </row>
    <row r="786" spans="1:7" x14ac:dyDescent="0.25">
      <c r="A786" t="s">
        <v>1865</v>
      </c>
      <c r="B786" t="s">
        <v>2951</v>
      </c>
      <c r="C786" t="s">
        <v>2952</v>
      </c>
      <c r="D786">
        <v>0</v>
      </c>
      <c r="E786">
        <v>194654386</v>
      </c>
      <c r="F786">
        <v>7985349.7000000002</v>
      </c>
      <c r="G786">
        <v>186669036.30000001</v>
      </c>
    </row>
    <row r="787" spans="1:7" x14ac:dyDescent="0.25">
      <c r="A787" t="s">
        <v>1865</v>
      </c>
      <c r="B787" t="s">
        <v>2953</v>
      </c>
      <c r="C787" t="s">
        <v>2954</v>
      </c>
      <c r="D787">
        <v>0</v>
      </c>
      <c r="E787">
        <v>0</v>
      </c>
      <c r="F787">
        <v>0</v>
      </c>
      <c r="G787">
        <v>0</v>
      </c>
    </row>
    <row r="788" spans="1:7" x14ac:dyDescent="0.25">
      <c r="A788" t="s">
        <v>1865</v>
      </c>
      <c r="B788" t="s">
        <v>2955</v>
      </c>
      <c r="C788" t="s">
        <v>2956</v>
      </c>
      <c r="D788">
        <v>0</v>
      </c>
      <c r="E788">
        <v>0</v>
      </c>
      <c r="F788">
        <v>0</v>
      </c>
      <c r="G788">
        <v>0</v>
      </c>
    </row>
    <row r="789" spans="1:7" x14ac:dyDescent="0.25">
      <c r="A789" t="s">
        <v>1865</v>
      </c>
      <c r="B789" t="s">
        <v>2957</v>
      </c>
      <c r="C789" t="s">
        <v>2956</v>
      </c>
      <c r="D789">
        <v>0</v>
      </c>
      <c r="E789">
        <v>0</v>
      </c>
      <c r="F789">
        <v>0</v>
      </c>
      <c r="G789">
        <v>0</v>
      </c>
    </row>
    <row r="790" spans="1:7" x14ac:dyDescent="0.25">
      <c r="A790" t="s">
        <v>1865</v>
      </c>
      <c r="B790" t="s">
        <v>2958</v>
      </c>
      <c r="C790" t="s">
        <v>2959</v>
      </c>
      <c r="D790">
        <v>0</v>
      </c>
      <c r="E790">
        <v>191104906</v>
      </c>
      <c r="F790">
        <v>7985349.7000000002</v>
      </c>
      <c r="G790">
        <v>183119556.30000001</v>
      </c>
    </row>
    <row r="791" spans="1:7" x14ac:dyDescent="0.25">
      <c r="A791" t="s">
        <v>1865</v>
      </c>
      <c r="B791" t="s">
        <v>2960</v>
      </c>
      <c r="C791" t="s">
        <v>2959</v>
      </c>
      <c r="D791">
        <v>0</v>
      </c>
      <c r="E791">
        <v>191104906</v>
      </c>
      <c r="F791">
        <v>7985349.7000000002</v>
      </c>
      <c r="G791">
        <v>183119556.30000001</v>
      </c>
    </row>
    <row r="792" spans="1:7" x14ac:dyDescent="0.25">
      <c r="A792" t="s">
        <v>1865</v>
      </c>
      <c r="B792" t="s">
        <v>2961</v>
      </c>
      <c r="C792" t="s">
        <v>2959</v>
      </c>
      <c r="D792">
        <v>0</v>
      </c>
      <c r="E792">
        <v>191104906</v>
      </c>
      <c r="F792">
        <v>7985349.7000000002</v>
      </c>
      <c r="G792">
        <v>183119556.30000001</v>
      </c>
    </row>
    <row r="793" spans="1:7" x14ac:dyDescent="0.25">
      <c r="A793" t="s">
        <v>1865</v>
      </c>
      <c r="B793" t="s">
        <v>2962</v>
      </c>
      <c r="C793" t="s">
        <v>2963</v>
      </c>
      <c r="D793">
        <v>0</v>
      </c>
      <c r="E793">
        <v>3549480</v>
      </c>
      <c r="F793">
        <v>0</v>
      </c>
      <c r="G793">
        <v>3549480</v>
      </c>
    </row>
    <row r="794" spans="1:7" x14ac:dyDescent="0.25">
      <c r="A794" t="s">
        <v>1865</v>
      </c>
      <c r="B794" t="s">
        <v>2964</v>
      </c>
      <c r="C794" t="s">
        <v>2963</v>
      </c>
      <c r="D794">
        <v>0</v>
      </c>
      <c r="E794">
        <v>3549480</v>
      </c>
      <c r="F794">
        <v>0</v>
      </c>
      <c r="G794">
        <v>3549480</v>
      </c>
    </row>
    <row r="795" spans="1:7" x14ac:dyDescent="0.25">
      <c r="A795" t="s">
        <v>1865</v>
      </c>
      <c r="B795" t="s">
        <v>2965</v>
      </c>
      <c r="C795" t="s">
        <v>2963</v>
      </c>
      <c r="D795">
        <v>0</v>
      </c>
      <c r="E795">
        <v>3549480</v>
      </c>
      <c r="F795">
        <v>0</v>
      </c>
      <c r="G795">
        <v>3549480</v>
      </c>
    </row>
    <row r="796" spans="1:7" x14ac:dyDescent="0.25">
      <c r="A796" t="s">
        <v>1865</v>
      </c>
      <c r="B796" t="s">
        <v>2966</v>
      </c>
      <c r="C796" t="s">
        <v>2967</v>
      </c>
      <c r="D796">
        <v>0</v>
      </c>
      <c r="E796">
        <v>95012629.430000007</v>
      </c>
      <c r="F796">
        <v>194130.1</v>
      </c>
      <c r="G796">
        <v>94818499.330000013</v>
      </c>
    </row>
    <row r="797" spans="1:7" x14ac:dyDescent="0.25">
      <c r="A797" t="s">
        <v>1865</v>
      </c>
      <c r="B797" t="s">
        <v>2968</v>
      </c>
      <c r="C797" t="s">
        <v>2969</v>
      </c>
      <c r="D797">
        <v>0</v>
      </c>
      <c r="E797">
        <v>3232721</v>
      </c>
      <c r="F797">
        <v>0</v>
      </c>
      <c r="G797">
        <v>3232721</v>
      </c>
    </row>
    <row r="798" spans="1:7" x14ac:dyDescent="0.25">
      <c r="A798" t="s">
        <v>1865</v>
      </c>
      <c r="B798" t="s">
        <v>2970</v>
      </c>
      <c r="C798" t="s">
        <v>2971</v>
      </c>
      <c r="D798">
        <v>0</v>
      </c>
      <c r="E798">
        <v>3232721</v>
      </c>
      <c r="F798">
        <v>0</v>
      </c>
      <c r="G798">
        <v>3232721</v>
      </c>
    </row>
    <row r="799" spans="1:7" x14ac:dyDescent="0.25">
      <c r="A799" t="s">
        <v>1865</v>
      </c>
      <c r="B799" t="s">
        <v>2972</v>
      </c>
      <c r="C799" t="s">
        <v>2971</v>
      </c>
      <c r="D799">
        <v>0</v>
      </c>
      <c r="E799">
        <v>3232721</v>
      </c>
      <c r="F799">
        <v>0</v>
      </c>
      <c r="G799">
        <v>3232721</v>
      </c>
    </row>
    <row r="800" spans="1:7" x14ac:dyDescent="0.25">
      <c r="A800" t="s">
        <v>1865</v>
      </c>
      <c r="B800" t="s">
        <v>2968</v>
      </c>
      <c r="C800" t="s">
        <v>2969</v>
      </c>
      <c r="D800">
        <v>0</v>
      </c>
      <c r="E800">
        <v>91194458.430000007</v>
      </c>
      <c r="F800">
        <v>194130.1</v>
      </c>
      <c r="G800">
        <v>91000328.330000013</v>
      </c>
    </row>
    <row r="801" spans="1:7" x14ac:dyDescent="0.25">
      <c r="A801" t="s">
        <v>1865</v>
      </c>
      <c r="B801" t="s">
        <v>2973</v>
      </c>
      <c r="C801" t="s">
        <v>2974</v>
      </c>
      <c r="D801">
        <v>0</v>
      </c>
      <c r="E801">
        <v>91194458.430000007</v>
      </c>
      <c r="F801">
        <v>194130.1</v>
      </c>
      <c r="G801">
        <v>91000328.330000013</v>
      </c>
    </row>
    <row r="802" spans="1:7" x14ac:dyDescent="0.25">
      <c r="A802" t="s">
        <v>1865</v>
      </c>
      <c r="B802" t="s">
        <v>2975</v>
      </c>
      <c r="C802" t="s">
        <v>2974</v>
      </c>
      <c r="D802">
        <v>0</v>
      </c>
      <c r="E802">
        <v>91194458.430000007</v>
      </c>
      <c r="F802">
        <v>194130.1</v>
      </c>
      <c r="G802">
        <v>91000328.330000013</v>
      </c>
    </row>
    <row r="803" spans="1:7" x14ac:dyDescent="0.25">
      <c r="A803" t="s">
        <v>1865</v>
      </c>
      <c r="B803" t="s">
        <v>2976</v>
      </c>
      <c r="C803" t="s">
        <v>2977</v>
      </c>
      <c r="D803">
        <v>0</v>
      </c>
      <c r="E803">
        <v>585450</v>
      </c>
      <c r="F803">
        <v>0</v>
      </c>
      <c r="G803">
        <v>585450</v>
      </c>
    </row>
    <row r="804" spans="1:7" x14ac:dyDescent="0.25">
      <c r="A804" t="s">
        <v>1865</v>
      </c>
      <c r="B804" t="s">
        <v>2978</v>
      </c>
      <c r="C804" t="s">
        <v>2977</v>
      </c>
      <c r="D804">
        <v>0</v>
      </c>
      <c r="E804">
        <v>585450</v>
      </c>
      <c r="F804">
        <v>0</v>
      </c>
      <c r="G804">
        <v>585450</v>
      </c>
    </row>
    <row r="805" spans="1:7" x14ac:dyDescent="0.25">
      <c r="A805" t="s">
        <v>1865</v>
      </c>
      <c r="B805" t="s">
        <v>2979</v>
      </c>
      <c r="C805" t="s">
        <v>2977</v>
      </c>
      <c r="D805">
        <v>0</v>
      </c>
      <c r="E805">
        <v>585450</v>
      </c>
      <c r="F805">
        <v>0</v>
      </c>
      <c r="G805">
        <v>585450</v>
      </c>
    </row>
    <row r="806" spans="1:7" x14ac:dyDescent="0.25">
      <c r="A806" t="s">
        <v>1865</v>
      </c>
      <c r="B806" t="s">
        <v>805</v>
      </c>
      <c r="C806" t="s">
        <v>2980</v>
      </c>
      <c r="D806">
        <v>0</v>
      </c>
      <c r="E806">
        <v>676703277.48000002</v>
      </c>
      <c r="F806">
        <v>284202103.31999999</v>
      </c>
      <c r="G806">
        <v>392501174.16000003</v>
      </c>
    </row>
    <row r="807" spans="1:7" x14ac:dyDescent="0.25">
      <c r="A807" t="s">
        <v>1865</v>
      </c>
      <c r="B807" t="s">
        <v>2981</v>
      </c>
      <c r="C807" t="s">
        <v>2982</v>
      </c>
      <c r="D807">
        <v>0</v>
      </c>
      <c r="E807">
        <v>93749953.319999993</v>
      </c>
      <c r="F807">
        <v>93749953.319999993</v>
      </c>
      <c r="G807">
        <v>0</v>
      </c>
    </row>
    <row r="808" spans="1:7" x14ac:dyDescent="0.25">
      <c r="A808" t="s">
        <v>1865</v>
      </c>
      <c r="B808" t="s">
        <v>2983</v>
      </c>
      <c r="C808" t="s">
        <v>2984</v>
      </c>
      <c r="D808">
        <v>0</v>
      </c>
      <c r="E808">
        <v>93749953.319999993</v>
      </c>
      <c r="F808">
        <v>93749953.319999993</v>
      </c>
      <c r="G808">
        <v>0</v>
      </c>
    </row>
    <row r="809" spans="1:7" x14ac:dyDescent="0.25">
      <c r="A809" t="s">
        <v>1865</v>
      </c>
      <c r="B809" t="s">
        <v>2985</v>
      </c>
      <c r="C809" t="s">
        <v>2984</v>
      </c>
      <c r="D809">
        <v>0</v>
      </c>
      <c r="E809">
        <v>93749953.319999993</v>
      </c>
      <c r="F809">
        <v>93749953.319999993</v>
      </c>
      <c r="G809">
        <v>0</v>
      </c>
    </row>
    <row r="810" spans="1:7" x14ac:dyDescent="0.25">
      <c r="A810" t="s">
        <v>1865</v>
      </c>
      <c r="B810" t="s">
        <v>2986</v>
      </c>
      <c r="C810" t="s">
        <v>2987</v>
      </c>
      <c r="D810">
        <v>0</v>
      </c>
      <c r="E810">
        <v>93749953.319999993</v>
      </c>
      <c r="F810">
        <v>93749953.319999993</v>
      </c>
      <c r="G810">
        <v>0</v>
      </c>
    </row>
    <row r="811" spans="1:7" x14ac:dyDescent="0.25">
      <c r="A811" t="s">
        <v>1865</v>
      </c>
      <c r="B811" t="s">
        <v>2988</v>
      </c>
      <c r="C811" t="s">
        <v>2989</v>
      </c>
      <c r="D811">
        <v>0</v>
      </c>
      <c r="E811">
        <v>174059666.18000001</v>
      </c>
      <c r="F811">
        <v>171534710</v>
      </c>
      <c r="G811">
        <v>2524956.1800000002</v>
      </c>
    </row>
    <row r="812" spans="1:7" x14ac:dyDescent="0.25">
      <c r="A812" t="s">
        <v>1865</v>
      </c>
      <c r="B812" t="s">
        <v>2990</v>
      </c>
      <c r="C812" t="s">
        <v>2991</v>
      </c>
      <c r="D812">
        <v>0</v>
      </c>
      <c r="E812">
        <v>174059666.18000001</v>
      </c>
      <c r="F812">
        <v>171534710</v>
      </c>
      <c r="G812">
        <v>2524956.1800000002</v>
      </c>
    </row>
    <row r="813" spans="1:7" x14ac:dyDescent="0.25">
      <c r="A813" t="s">
        <v>1865</v>
      </c>
      <c r="B813" t="s">
        <v>2992</v>
      </c>
      <c r="C813" t="s">
        <v>2993</v>
      </c>
      <c r="D813">
        <v>0</v>
      </c>
      <c r="E813">
        <v>174059666.18000001</v>
      </c>
      <c r="F813">
        <v>171534710</v>
      </c>
      <c r="G813">
        <v>2524956.1800000002</v>
      </c>
    </row>
    <row r="814" spans="1:7" x14ac:dyDescent="0.25">
      <c r="A814" t="s">
        <v>1865</v>
      </c>
      <c r="B814" t="s">
        <v>2994</v>
      </c>
      <c r="C814" t="s">
        <v>2995</v>
      </c>
      <c r="D814">
        <v>0</v>
      </c>
      <c r="E814">
        <v>2524956.1800000002</v>
      </c>
      <c r="F814">
        <v>0</v>
      </c>
      <c r="G814">
        <v>2524956.1800000002</v>
      </c>
    </row>
    <row r="815" spans="1:7" x14ac:dyDescent="0.25">
      <c r="A815" t="s">
        <v>1865</v>
      </c>
      <c r="B815" t="s">
        <v>2996</v>
      </c>
      <c r="C815" t="s">
        <v>2997</v>
      </c>
      <c r="D815">
        <v>0</v>
      </c>
      <c r="E815">
        <v>171534710</v>
      </c>
      <c r="F815">
        <v>171534710</v>
      </c>
      <c r="G815">
        <v>0</v>
      </c>
    </row>
    <row r="816" spans="1:7" x14ac:dyDescent="0.25">
      <c r="A816" t="s">
        <v>1865</v>
      </c>
      <c r="B816" t="s">
        <v>2998</v>
      </c>
      <c r="C816" t="s">
        <v>2999</v>
      </c>
      <c r="D816">
        <v>0</v>
      </c>
      <c r="E816">
        <v>304727038</v>
      </c>
      <c r="F816">
        <v>18917440</v>
      </c>
      <c r="G816">
        <v>285809598</v>
      </c>
    </row>
    <row r="817" spans="1:7" x14ac:dyDescent="0.25">
      <c r="A817" t="s">
        <v>1865</v>
      </c>
      <c r="B817" t="s">
        <v>3000</v>
      </c>
      <c r="C817" t="s">
        <v>2999</v>
      </c>
      <c r="D817">
        <v>0</v>
      </c>
      <c r="E817">
        <v>304727038</v>
      </c>
      <c r="F817">
        <v>18917440</v>
      </c>
      <c r="G817">
        <v>285809598</v>
      </c>
    </row>
    <row r="818" spans="1:7" x14ac:dyDescent="0.25">
      <c r="A818" t="s">
        <v>1865</v>
      </c>
      <c r="B818" t="s">
        <v>3001</v>
      </c>
      <c r="C818" t="s">
        <v>2999</v>
      </c>
      <c r="D818">
        <v>0</v>
      </c>
      <c r="E818">
        <v>304727038</v>
      </c>
      <c r="F818">
        <v>18917440</v>
      </c>
      <c r="G818">
        <v>285809598</v>
      </c>
    </row>
    <row r="819" spans="1:7" x14ac:dyDescent="0.25">
      <c r="A819" t="s">
        <v>1865</v>
      </c>
      <c r="B819" t="s">
        <v>3002</v>
      </c>
      <c r="C819" t="s">
        <v>3003</v>
      </c>
      <c r="D819">
        <v>0</v>
      </c>
      <c r="E819">
        <v>25744868</v>
      </c>
      <c r="F819">
        <v>0</v>
      </c>
      <c r="G819">
        <v>25744868</v>
      </c>
    </row>
    <row r="820" spans="1:7" x14ac:dyDescent="0.25">
      <c r="A820" t="s">
        <v>1865</v>
      </c>
      <c r="B820" t="s">
        <v>3004</v>
      </c>
      <c r="C820" t="s">
        <v>2997</v>
      </c>
      <c r="D820">
        <v>0</v>
      </c>
      <c r="E820">
        <v>225179897</v>
      </c>
      <c r="F820">
        <v>15000000</v>
      </c>
      <c r="G820">
        <v>210179897</v>
      </c>
    </row>
    <row r="821" spans="1:7" x14ac:dyDescent="0.25">
      <c r="A821" t="s">
        <v>1865</v>
      </c>
      <c r="B821" t="s">
        <v>3005</v>
      </c>
      <c r="C821" t="s">
        <v>3006</v>
      </c>
      <c r="D821">
        <v>0</v>
      </c>
      <c r="E821">
        <v>42717373</v>
      </c>
      <c r="F821">
        <v>0</v>
      </c>
      <c r="G821">
        <v>42717373</v>
      </c>
    </row>
    <row r="822" spans="1:7" x14ac:dyDescent="0.25">
      <c r="A822" t="s">
        <v>1865</v>
      </c>
      <c r="B822" t="s">
        <v>3007</v>
      </c>
      <c r="C822" t="s">
        <v>3008</v>
      </c>
      <c r="D822">
        <v>0</v>
      </c>
      <c r="E822">
        <v>11084900</v>
      </c>
      <c r="F822">
        <v>3917440</v>
      </c>
      <c r="G822">
        <v>7167460</v>
      </c>
    </row>
    <row r="823" spans="1:7" x14ac:dyDescent="0.25">
      <c r="A823" t="s">
        <v>1865</v>
      </c>
      <c r="B823" t="s">
        <v>3009</v>
      </c>
      <c r="C823" t="s">
        <v>3010</v>
      </c>
      <c r="D823">
        <v>0</v>
      </c>
      <c r="E823">
        <v>104166619.98</v>
      </c>
      <c r="F823">
        <v>0</v>
      </c>
      <c r="G823">
        <v>104166619.98</v>
      </c>
    </row>
    <row r="824" spans="1:7" x14ac:dyDescent="0.25">
      <c r="A824" t="s">
        <v>1865</v>
      </c>
      <c r="B824" t="s">
        <v>3011</v>
      </c>
      <c r="C824" t="s">
        <v>3010</v>
      </c>
      <c r="D824">
        <v>0</v>
      </c>
      <c r="E824">
        <v>104166619.98</v>
      </c>
      <c r="F824">
        <v>0</v>
      </c>
      <c r="G824">
        <v>104166619.98</v>
      </c>
    </row>
    <row r="825" spans="1:7" x14ac:dyDescent="0.25">
      <c r="A825" t="s">
        <v>1865</v>
      </c>
      <c r="B825" t="s">
        <v>3012</v>
      </c>
      <c r="C825" t="s">
        <v>3010</v>
      </c>
      <c r="D825">
        <v>0</v>
      </c>
      <c r="E825">
        <v>104166619.98</v>
      </c>
      <c r="F825">
        <v>0</v>
      </c>
      <c r="G825">
        <v>104166619.98</v>
      </c>
    </row>
    <row r="826" spans="1:7" x14ac:dyDescent="0.25">
      <c r="A826" t="s">
        <v>1865</v>
      </c>
      <c r="B826" t="s">
        <v>3013</v>
      </c>
      <c r="C826" t="s">
        <v>3014</v>
      </c>
      <c r="D826">
        <v>0</v>
      </c>
      <c r="E826">
        <v>104166619.98</v>
      </c>
      <c r="F826">
        <v>0</v>
      </c>
      <c r="G826">
        <v>104166619.98</v>
      </c>
    </row>
    <row r="827" spans="1:7" x14ac:dyDescent="0.25">
      <c r="A827" t="s">
        <v>1865</v>
      </c>
      <c r="B827" t="s">
        <v>807</v>
      </c>
      <c r="C827" t="s">
        <v>3015</v>
      </c>
      <c r="D827">
        <v>0</v>
      </c>
      <c r="E827">
        <v>4382445</v>
      </c>
      <c r="F827">
        <v>0</v>
      </c>
      <c r="G827">
        <v>4382445</v>
      </c>
    </row>
    <row r="828" spans="1:7" x14ac:dyDescent="0.25">
      <c r="A828" t="s">
        <v>1865</v>
      </c>
      <c r="B828" t="s">
        <v>3016</v>
      </c>
      <c r="C828" t="s">
        <v>3017</v>
      </c>
      <c r="D828">
        <v>0</v>
      </c>
      <c r="E828">
        <v>4382445</v>
      </c>
      <c r="F828">
        <v>0</v>
      </c>
      <c r="G828">
        <v>4382445</v>
      </c>
    </row>
    <row r="829" spans="1:7" x14ac:dyDescent="0.25">
      <c r="A829" t="s">
        <v>1865</v>
      </c>
      <c r="B829" t="s">
        <v>3018</v>
      </c>
      <c r="C829" t="s">
        <v>3019</v>
      </c>
      <c r="D829">
        <v>0</v>
      </c>
      <c r="E829">
        <v>4382445</v>
      </c>
      <c r="F829">
        <v>0</v>
      </c>
      <c r="G829">
        <v>4382445</v>
      </c>
    </row>
    <row r="830" spans="1:7" x14ac:dyDescent="0.25">
      <c r="A830" t="s">
        <v>1865</v>
      </c>
      <c r="B830" t="s">
        <v>3020</v>
      </c>
      <c r="C830" t="s">
        <v>3021</v>
      </c>
      <c r="D830">
        <v>0</v>
      </c>
      <c r="E830">
        <v>4382445</v>
      </c>
      <c r="F830">
        <v>0</v>
      </c>
      <c r="G830">
        <v>4382445</v>
      </c>
    </row>
    <row r="831" spans="1:7" x14ac:dyDescent="0.25">
      <c r="A831" t="s">
        <v>1865</v>
      </c>
      <c r="B831" t="s">
        <v>3022</v>
      </c>
      <c r="C831" t="s">
        <v>3023</v>
      </c>
      <c r="D831">
        <v>0</v>
      </c>
      <c r="E831">
        <v>4382445</v>
      </c>
      <c r="F831">
        <v>0</v>
      </c>
      <c r="G831">
        <v>4382445</v>
      </c>
    </row>
    <row r="832" spans="1:7" x14ac:dyDescent="0.25">
      <c r="A832" t="s">
        <v>1865</v>
      </c>
      <c r="B832" t="s">
        <v>809</v>
      </c>
      <c r="C832" t="s">
        <v>3024</v>
      </c>
      <c r="D832">
        <v>0</v>
      </c>
      <c r="E832">
        <v>32037469.829999998</v>
      </c>
      <c r="F832">
        <v>32037469.829999998</v>
      </c>
      <c r="G832">
        <v>0</v>
      </c>
    </row>
    <row r="833" spans="1:7" x14ac:dyDescent="0.25">
      <c r="A833" t="s">
        <v>1865</v>
      </c>
      <c r="B833" t="s">
        <v>811</v>
      </c>
      <c r="C833" t="s">
        <v>3025</v>
      </c>
      <c r="D833">
        <v>0</v>
      </c>
      <c r="E833">
        <v>32037469.829999998</v>
      </c>
      <c r="F833">
        <v>32037469.829999998</v>
      </c>
      <c r="G833">
        <v>0</v>
      </c>
    </row>
    <row r="834" spans="1:7" x14ac:dyDescent="0.25">
      <c r="A834" t="s">
        <v>1865</v>
      </c>
      <c r="B834" t="s">
        <v>3026</v>
      </c>
      <c r="C834" t="s">
        <v>3027</v>
      </c>
      <c r="D834">
        <v>0</v>
      </c>
      <c r="E834">
        <v>32037469.829999998</v>
      </c>
      <c r="F834">
        <v>32037469.829999998</v>
      </c>
      <c r="G834">
        <v>0</v>
      </c>
    </row>
    <row r="835" spans="1:7" x14ac:dyDescent="0.25">
      <c r="A835" t="s">
        <v>1865</v>
      </c>
      <c r="B835" t="s">
        <v>3028</v>
      </c>
      <c r="C835" t="s">
        <v>3029</v>
      </c>
      <c r="D835">
        <v>0</v>
      </c>
      <c r="E835">
        <v>32037469.829999998</v>
      </c>
      <c r="F835">
        <v>32037469.829999998</v>
      </c>
      <c r="G835">
        <v>0</v>
      </c>
    </row>
    <row r="836" spans="1:7" x14ac:dyDescent="0.25">
      <c r="A836" t="s">
        <v>1865</v>
      </c>
      <c r="B836" t="s">
        <v>3030</v>
      </c>
      <c r="C836" t="s">
        <v>3031</v>
      </c>
      <c r="D836">
        <v>0</v>
      </c>
      <c r="E836">
        <v>32037469.829999998</v>
      </c>
      <c r="F836">
        <v>32037469.829999998</v>
      </c>
      <c r="G836">
        <v>0</v>
      </c>
    </row>
    <row r="837" spans="1:7" x14ac:dyDescent="0.25">
      <c r="A837" t="s">
        <v>1865</v>
      </c>
      <c r="B837" t="s">
        <v>3032</v>
      </c>
      <c r="C837" t="s">
        <v>3033</v>
      </c>
      <c r="D837">
        <v>0</v>
      </c>
      <c r="E837">
        <v>32037469.829999998</v>
      </c>
      <c r="F837">
        <v>32037469.829999998</v>
      </c>
      <c r="G837">
        <v>0</v>
      </c>
    </row>
    <row r="838" spans="1:7" x14ac:dyDescent="0.25">
      <c r="A838" t="s">
        <v>1865</v>
      </c>
      <c r="B838" t="s">
        <v>817</v>
      </c>
      <c r="C838" t="s">
        <v>3034</v>
      </c>
      <c r="D838">
        <v>0</v>
      </c>
      <c r="E838">
        <v>165557646.88000003</v>
      </c>
      <c r="F838">
        <v>0.9</v>
      </c>
      <c r="G838">
        <v>165557645.98000002</v>
      </c>
    </row>
    <row r="839" spans="1:7" x14ac:dyDescent="0.25">
      <c r="A839" t="s">
        <v>1865</v>
      </c>
      <c r="B839" t="s">
        <v>819</v>
      </c>
      <c r="C839" t="s">
        <v>3035</v>
      </c>
      <c r="D839">
        <v>0</v>
      </c>
      <c r="E839">
        <v>6160062.6799999997</v>
      </c>
      <c r="F839">
        <v>0</v>
      </c>
      <c r="G839">
        <v>6160062.6799999997</v>
      </c>
    </row>
    <row r="840" spans="1:7" x14ac:dyDescent="0.25">
      <c r="A840" t="s">
        <v>1865</v>
      </c>
      <c r="B840" t="s">
        <v>822</v>
      </c>
      <c r="C840" t="s">
        <v>3036</v>
      </c>
      <c r="D840">
        <v>0</v>
      </c>
      <c r="E840">
        <v>6160062.6799999997</v>
      </c>
      <c r="F840">
        <v>0</v>
      </c>
      <c r="G840">
        <v>6160062.6799999997</v>
      </c>
    </row>
    <row r="841" spans="1:7" x14ac:dyDescent="0.25">
      <c r="A841" t="s">
        <v>1865</v>
      </c>
      <c r="B841" t="s">
        <v>3037</v>
      </c>
      <c r="C841" t="s">
        <v>3038</v>
      </c>
      <c r="D841">
        <v>0</v>
      </c>
      <c r="E841">
        <v>6160062.6799999997</v>
      </c>
      <c r="F841">
        <v>0</v>
      </c>
      <c r="G841">
        <v>6160062.6799999997</v>
      </c>
    </row>
    <row r="842" spans="1:7" x14ac:dyDescent="0.25">
      <c r="A842" t="s">
        <v>1865</v>
      </c>
      <c r="B842" t="s">
        <v>3039</v>
      </c>
      <c r="C842" t="s">
        <v>3040</v>
      </c>
      <c r="D842">
        <v>0</v>
      </c>
      <c r="E842">
        <v>6160062.6799999997</v>
      </c>
      <c r="F842">
        <v>0</v>
      </c>
      <c r="G842">
        <v>6160062.6799999997</v>
      </c>
    </row>
    <row r="843" spans="1:7" x14ac:dyDescent="0.25">
      <c r="A843" t="s">
        <v>1865</v>
      </c>
      <c r="B843" t="s">
        <v>3041</v>
      </c>
      <c r="C843" t="s">
        <v>3042</v>
      </c>
      <c r="D843">
        <v>0</v>
      </c>
      <c r="E843">
        <v>6160062.6799999997</v>
      </c>
      <c r="F843">
        <v>0</v>
      </c>
      <c r="G843">
        <v>6160062.6799999997</v>
      </c>
    </row>
    <row r="844" spans="1:7" x14ac:dyDescent="0.25">
      <c r="A844" t="s">
        <v>1865</v>
      </c>
      <c r="B844" t="s">
        <v>3043</v>
      </c>
      <c r="C844" t="s">
        <v>3042</v>
      </c>
      <c r="D844">
        <v>0</v>
      </c>
      <c r="E844">
        <v>6160062.6799999997</v>
      </c>
      <c r="F844">
        <v>0</v>
      </c>
      <c r="G844">
        <v>6160062.6799999997</v>
      </c>
    </row>
    <row r="845" spans="1:7" x14ac:dyDescent="0.25">
      <c r="A845" t="s">
        <v>1865</v>
      </c>
      <c r="B845" t="s">
        <v>834</v>
      </c>
      <c r="C845" t="s">
        <v>3044</v>
      </c>
      <c r="D845">
        <v>0</v>
      </c>
      <c r="E845">
        <v>157770805.90000001</v>
      </c>
      <c r="F845">
        <v>0</v>
      </c>
      <c r="G845">
        <v>157770805.90000001</v>
      </c>
    </row>
    <row r="846" spans="1:7" x14ac:dyDescent="0.25">
      <c r="A846" t="s">
        <v>1865</v>
      </c>
      <c r="B846" t="s">
        <v>837</v>
      </c>
      <c r="C846" t="s">
        <v>3045</v>
      </c>
      <c r="D846">
        <v>0</v>
      </c>
      <c r="E846">
        <v>157770805.90000001</v>
      </c>
      <c r="F846">
        <v>0</v>
      </c>
      <c r="G846">
        <v>157770805.90000001</v>
      </c>
    </row>
    <row r="847" spans="1:7" x14ac:dyDescent="0.25">
      <c r="A847" t="s">
        <v>1865</v>
      </c>
      <c r="B847" t="s">
        <v>3046</v>
      </c>
      <c r="C847" t="s">
        <v>3047</v>
      </c>
      <c r="D847">
        <v>0</v>
      </c>
      <c r="E847">
        <v>157770805.90000001</v>
      </c>
      <c r="F847">
        <v>0</v>
      </c>
      <c r="G847">
        <v>157770805.90000001</v>
      </c>
    </row>
    <row r="848" spans="1:7" x14ac:dyDescent="0.25">
      <c r="A848" t="s">
        <v>1865</v>
      </c>
      <c r="B848" t="s">
        <v>3048</v>
      </c>
      <c r="C848" t="s">
        <v>3049</v>
      </c>
      <c r="D848">
        <v>0</v>
      </c>
      <c r="E848">
        <v>157770805.90000001</v>
      </c>
      <c r="F848">
        <v>0</v>
      </c>
      <c r="G848">
        <v>157770805.90000001</v>
      </c>
    </row>
    <row r="849" spans="1:7" x14ac:dyDescent="0.25">
      <c r="A849" t="s">
        <v>1865</v>
      </c>
      <c r="B849" t="s">
        <v>3050</v>
      </c>
      <c r="C849" t="s">
        <v>3051</v>
      </c>
      <c r="D849">
        <v>0</v>
      </c>
      <c r="E849">
        <v>157770805.90000001</v>
      </c>
      <c r="F849">
        <v>0</v>
      </c>
      <c r="G849">
        <v>157770805.90000001</v>
      </c>
    </row>
    <row r="850" spans="1:7" x14ac:dyDescent="0.25">
      <c r="A850" t="s">
        <v>1865</v>
      </c>
      <c r="B850" t="s">
        <v>3052</v>
      </c>
      <c r="C850" t="s">
        <v>3051</v>
      </c>
      <c r="D850">
        <v>0</v>
      </c>
      <c r="E850">
        <v>157770805.90000001</v>
      </c>
      <c r="F850">
        <v>0</v>
      </c>
      <c r="G850">
        <v>157770805.90000001</v>
      </c>
    </row>
    <row r="851" spans="1:7" x14ac:dyDescent="0.25">
      <c r="A851" t="s">
        <v>1865</v>
      </c>
      <c r="B851" t="s">
        <v>841</v>
      </c>
      <c r="C851" t="s">
        <v>3053</v>
      </c>
      <c r="D851">
        <v>0</v>
      </c>
      <c r="E851">
        <v>1626778.3</v>
      </c>
      <c r="F851">
        <v>0.9</v>
      </c>
      <c r="G851">
        <v>1626777.4</v>
      </c>
    </row>
    <row r="852" spans="1:7" x14ac:dyDescent="0.25">
      <c r="A852" t="s">
        <v>1865</v>
      </c>
      <c r="B852" t="s">
        <v>844</v>
      </c>
      <c r="C852" t="s">
        <v>3054</v>
      </c>
      <c r="D852">
        <v>0</v>
      </c>
      <c r="E852">
        <v>625980</v>
      </c>
      <c r="F852">
        <v>0</v>
      </c>
      <c r="G852">
        <v>625980</v>
      </c>
    </row>
    <row r="853" spans="1:7" x14ac:dyDescent="0.25">
      <c r="A853" t="s">
        <v>1865</v>
      </c>
      <c r="B853" t="s">
        <v>3055</v>
      </c>
      <c r="C853" t="s">
        <v>3056</v>
      </c>
      <c r="D853">
        <v>0</v>
      </c>
      <c r="E853">
        <v>625980</v>
      </c>
      <c r="F853">
        <v>0</v>
      </c>
      <c r="G853">
        <v>625980</v>
      </c>
    </row>
    <row r="854" spans="1:7" x14ac:dyDescent="0.25">
      <c r="A854" t="s">
        <v>1865</v>
      </c>
      <c r="B854" t="s">
        <v>3057</v>
      </c>
      <c r="C854" t="s">
        <v>3058</v>
      </c>
      <c r="D854">
        <v>0</v>
      </c>
      <c r="E854">
        <v>625980</v>
      </c>
      <c r="F854">
        <v>0</v>
      </c>
      <c r="G854">
        <v>625980</v>
      </c>
    </row>
    <row r="855" spans="1:7" x14ac:dyDescent="0.25">
      <c r="A855" t="s">
        <v>1865</v>
      </c>
      <c r="B855" t="s">
        <v>3059</v>
      </c>
      <c r="C855" t="s">
        <v>3058</v>
      </c>
      <c r="D855">
        <v>0</v>
      </c>
      <c r="E855">
        <v>625980</v>
      </c>
      <c r="F855">
        <v>0</v>
      </c>
      <c r="G855">
        <v>625980</v>
      </c>
    </row>
    <row r="856" spans="1:7" x14ac:dyDescent="0.25">
      <c r="A856" t="s">
        <v>1865</v>
      </c>
      <c r="B856" t="s">
        <v>3060</v>
      </c>
      <c r="C856" t="s">
        <v>3058</v>
      </c>
      <c r="D856">
        <v>0</v>
      </c>
      <c r="E856">
        <v>625980</v>
      </c>
      <c r="F856">
        <v>0</v>
      </c>
      <c r="G856">
        <v>625980</v>
      </c>
    </row>
    <row r="857" spans="1:7" x14ac:dyDescent="0.25">
      <c r="A857" t="s">
        <v>1865</v>
      </c>
      <c r="B857" t="s">
        <v>848</v>
      </c>
      <c r="C857" t="s">
        <v>3061</v>
      </c>
      <c r="D857">
        <v>0</v>
      </c>
      <c r="E857">
        <v>1000798.3</v>
      </c>
      <c r="F857">
        <v>0.9</v>
      </c>
      <c r="G857">
        <v>1000797.4</v>
      </c>
    </row>
    <row r="858" spans="1:7" x14ac:dyDescent="0.25">
      <c r="A858" t="s">
        <v>1865</v>
      </c>
      <c r="B858" t="s">
        <v>3062</v>
      </c>
      <c r="C858" t="s">
        <v>1852</v>
      </c>
      <c r="D858">
        <v>0</v>
      </c>
      <c r="E858">
        <v>2758</v>
      </c>
      <c r="F858">
        <v>0</v>
      </c>
      <c r="G858">
        <v>2758</v>
      </c>
    </row>
    <row r="859" spans="1:7" x14ac:dyDescent="0.25">
      <c r="A859" t="s">
        <v>1865</v>
      </c>
      <c r="B859" t="s">
        <v>3063</v>
      </c>
      <c r="C859" t="s">
        <v>1852</v>
      </c>
      <c r="D859">
        <v>0</v>
      </c>
      <c r="E859">
        <v>2758</v>
      </c>
      <c r="F859">
        <v>0</v>
      </c>
      <c r="G859">
        <v>2758</v>
      </c>
    </row>
    <row r="860" spans="1:7" x14ac:dyDescent="0.25">
      <c r="A860" t="s">
        <v>1865</v>
      </c>
      <c r="B860" t="s">
        <v>3064</v>
      </c>
      <c r="C860" t="s">
        <v>1852</v>
      </c>
      <c r="D860">
        <v>0</v>
      </c>
      <c r="E860">
        <v>2758</v>
      </c>
      <c r="F860">
        <v>0</v>
      </c>
      <c r="G860">
        <v>2758</v>
      </c>
    </row>
    <row r="861" spans="1:7" x14ac:dyDescent="0.25">
      <c r="A861" t="s">
        <v>1865</v>
      </c>
      <c r="B861" t="s">
        <v>3065</v>
      </c>
      <c r="C861" t="s">
        <v>1852</v>
      </c>
      <c r="D861">
        <v>0</v>
      </c>
      <c r="E861">
        <v>2758</v>
      </c>
      <c r="F861">
        <v>0</v>
      </c>
      <c r="G861">
        <v>2758</v>
      </c>
    </row>
    <row r="862" spans="1:7" x14ac:dyDescent="0.25">
      <c r="A862" t="s">
        <v>1865</v>
      </c>
      <c r="B862" t="s">
        <v>3066</v>
      </c>
      <c r="C862" t="s">
        <v>3067</v>
      </c>
      <c r="D862">
        <v>0</v>
      </c>
      <c r="E862">
        <v>851427.8</v>
      </c>
      <c r="F862">
        <v>0</v>
      </c>
      <c r="G862">
        <v>851427.8</v>
      </c>
    </row>
    <row r="863" spans="1:7" x14ac:dyDescent="0.25">
      <c r="A863" t="s">
        <v>1865</v>
      </c>
      <c r="B863" t="s">
        <v>3068</v>
      </c>
      <c r="C863" t="s">
        <v>3067</v>
      </c>
      <c r="D863">
        <v>0</v>
      </c>
      <c r="E863">
        <v>851427.8</v>
      </c>
      <c r="F863">
        <v>0</v>
      </c>
      <c r="G863">
        <v>851427.8</v>
      </c>
    </row>
    <row r="864" spans="1:7" x14ac:dyDescent="0.25">
      <c r="A864" t="s">
        <v>1865</v>
      </c>
      <c r="B864" t="s">
        <v>3069</v>
      </c>
      <c r="C864" t="s">
        <v>3067</v>
      </c>
      <c r="D864">
        <v>0</v>
      </c>
      <c r="E864">
        <v>851427.8</v>
      </c>
      <c r="F864">
        <v>0</v>
      </c>
      <c r="G864">
        <v>851427.8</v>
      </c>
    </row>
    <row r="865" spans="1:7" x14ac:dyDescent="0.25">
      <c r="A865" t="s">
        <v>1865</v>
      </c>
      <c r="B865" t="s">
        <v>3065</v>
      </c>
      <c r="C865" t="s">
        <v>3070</v>
      </c>
      <c r="D865">
        <v>0</v>
      </c>
      <c r="E865">
        <v>851427.8</v>
      </c>
      <c r="F865">
        <v>0</v>
      </c>
      <c r="G865">
        <v>851427.8</v>
      </c>
    </row>
    <row r="866" spans="1:7" x14ac:dyDescent="0.25">
      <c r="A866" t="s">
        <v>1865</v>
      </c>
      <c r="B866" t="s">
        <v>3071</v>
      </c>
      <c r="C866" t="s">
        <v>1854</v>
      </c>
      <c r="D866">
        <v>0</v>
      </c>
      <c r="E866">
        <v>146612.5</v>
      </c>
      <c r="F866">
        <v>0.9</v>
      </c>
      <c r="G866">
        <v>146611.6</v>
      </c>
    </row>
    <row r="867" spans="1:7" x14ac:dyDescent="0.25">
      <c r="A867" t="s">
        <v>1865</v>
      </c>
      <c r="B867" t="s">
        <v>3072</v>
      </c>
      <c r="C867" t="s">
        <v>1854</v>
      </c>
      <c r="D867">
        <v>0</v>
      </c>
      <c r="E867">
        <v>146612.5</v>
      </c>
      <c r="F867">
        <v>0.9</v>
      </c>
      <c r="G867">
        <v>146611.6</v>
      </c>
    </row>
    <row r="868" spans="1:7" x14ac:dyDescent="0.25">
      <c r="A868" t="s">
        <v>1865</v>
      </c>
      <c r="B868" t="s">
        <v>3073</v>
      </c>
      <c r="C868" t="s">
        <v>1854</v>
      </c>
      <c r="D868">
        <v>0</v>
      </c>
      <c r="E868">
        <v>146612.5</v>
      </c>
      <c r="F868">
        <v>0.9</v>
      </c>
      <c r="G868">
        <v>146611.6</v>
      </c>
    </row>
    <row r="869" spans="1:7" x14ac:dyDescent="0.25">
      <c r="A869" t="s">
        <v>1865</v>
      </c>
      <c r="B869" t="s">
        <v>3074</v>
      </c>
      <c r="C869" t="s">
        <v>3075</v>
      </c>
      <c r="D869">
        <v>0</v>
      </c>
      <c r="E869">
        <v>146612.5</v>
      </c>
      <c r="F869">
        <v>0.9</v>
      </c>
      <c r="G869">
        <v>146611.6</v>
      </c>
    </row>
    <row r="870" spans="1:7" x14ac:dyDescent="0.25">
      <c r="B870" t="s">
        <v>3076</v>
      </c>
      <c r="D870">
        <v>0</v>
      </c>
      <c r="E870">
        <v>48781510582.050003</v>
      </c>
      <c r="F870">
        <v>48781510582.050003</v>
      </c>
      <c r="G870">
        <v>0</v>
      </c>
    </row>
  </sheetData>
  <mergeCells count="5">
    <mergeCell ref="A5:G5"/>
    <mergeCell ref="A6:G6"/>
    <mergeCell ref="A7:G7"/>
    <mergeCell ref="A2:G2"/>
    <mergeCell ref="A3:G3"/>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0000"/>
  </sheetPr>
  <dimension ref="A1:U352"/>
  <sheetViews>
    <sheetView workbookViewId="0">
      <selection activeCell="D2" sqref="D2"/>
    </sheetView>
  </sheetViews>
  <sheetFormatPr baseColWidth="10" defaultColWidth="11.42578125" defaultRowHeight="15" x14ac:dyDescent="0.25"/>
  <cols>
    <col min="2" max="2" width="16.42578125" customWidth="1"/>
    <col min="3" max="3" width="14.28515625" customWidth="1"/>
    <col min="4" max="4" width="32.42578125" customWidth="1"/>
    <col min="7" max="7" width="19.7109375" customWidth="1"/>
    <col min="8" max="8" width="48.140625" bestFit="1" customWidth="1"/>
    <col min="12" max="12" width="98" customWidth="1"/>
    <col min="14" max="14" width="64" customWidth="1"/>
    <col min="15" max="15" width="36.28515625" customWidth="1"/>
    <col min="16" max="16" width="37" customWidth="1"/>
    <col min="17" max="17" width="41.7109375" customWidth="1"/>
    <col min="18" max="18" width="37.42578125" customWidth="1"/>
    <col min="19" max="19" width="40.85546875" customWidth="1"/>
    <col min="20" max="20" width="45" customWidth="1"/>
    <col min="21" max="21" width="50.85546875" customWidth="1"/>
  </cols>
  <sheetData>
    <row r="1" spans="1:21" ht="18" x14ac:dyDescent="0.25">
      <c r="B1" s="1" t="s">
        <v>356</v>
      </c>
      <c r="C1" s="1" t="s">
        <v>357</v>
      </c>
      <c r="D1" s="1" t="s">
        <v>358</v>
      </c>
      <c r="E1" s="1"/>
      <c r="F1" s="2" t="s">
        <v>359</v>
      </c>
      <c r="G1" s="2" t="s">
        <v>906</v>
      </c>
      <c r="H1" s="2" t="str">
        <f ca="1">"01 de Enero de "&amp;C2&amp;" al 28 de Febrero de "&amp;C2</f>
        <v>01 de Enero de ados al 28 de Febrero de ados</v>
      </c>
      <c r="I1" s="2">
        <v>2</v>
      </c>
      <c r="K1" s="2" t="s">
        <v>1265</v>
      </c>
      <c r="L1" s="2" t="s">
        <v>950</v>
      </c>
      <c r="N1" s="2" t="str">
        <f ca="1">CONCATENATE(O1,P1,Q1,R1,S1,T1,U1)</f>
        <v/>
      </c>
      <c r="O1" s="2" t="str">
        <f ca="1">IF(Data!B2=Data!K1,Data!L1,IF(Data!B2=Data!K2,Data!L2,IF(Data!B2=Data!K3,Data!L3,IF(Data!B2=Data!K4,Data!L4,IF(Data!B2=Data!K5,Data!L5,IF(Data!B2=Data!K6,Data!L6,IF(Data!B2=Data!K7,Data!L7,IF(Data!B2=Data!K8,Data!L8,IF(Data!B2=Data!K9,Data!L9,IF(Data!B2=Data!K10,Data!L10,IF(Data!B2=Data!K11,Data!L11,IF(Data!B2=Data!K12,Data!L12,IF(Data!B2=Data!K13,Data!L13,IF(Data!B2=Data!K14,Data!L14,IF(Data!B2=Data!K15,Data!L15,IF(Data!B2=Data!K16,Data!L16,IF(Data!B2=Data!K17,Data!L17,IF(Data!B2=Data!K18,Data!L18,IF(Data!B2=Data!K19,Data!L19,IF(Data!B2=Data!K20,Data!L20,IF(Data!B2=Data!K21,Data!L21,IF(Data!B2=Data!K22,Data!L22,IF(Data!B2=Data!K23,Data!L23,IF(Data!B2=Data!K24,Data!L24,IF(Data!B2=Data!K25,Data!L25,IF(Data!B2=Data!K26,Data!L26,IF(Data!B2=Data!K27,Data!L27,IF(Data!B2=Data!K28,Data!L28,IF(Data!B2=Data!K29,Data!L29,IF(Data!B2=Data!K30,Data!L30,IF(Data!B2=Data!K31,Data!L31,IF(Data!B2=Data!K32,Data!L32,IF(Data!B2=Data!K33,Data!L33,IF(Data!B2=Data!K34,Data!L34,IF(Data!B2=Data!K35,Data!L35,IF(Data!B2=Data!K36,Data!L36,IF(Data!B2=Data!K37,Data!L37,IF(Data!B2=Data!K38,Data!L38,IF(Data!B2=Data!K39,Data!L39,IF(Data!B2=Data!K40,Data!L40,IF(Data!B2=Data!K41,Data!L41,IF(Data!B2=Data!K44,Data!L44,IF(Data!B2=Data!K45,Data!L45,IF(Data!B2=Data!K46,Data!L46,IF(Data!B2=Data!K47,Data!L47,IF(Data!B2=Data!K48,Data!L48,IF(Data!B2=Data!K49,Data!L49,IF(Data!B2=Data!K50,Data!L50,IF(Data!B2=Data!K51,Data!L51,IF(Data!B2=Data!K52,Data!L52,IF(Data!B2=Data!K42,Data!L42,IF(Data!B2=Data!K43,Data!L43,""))))))))))))))))))))))))))))))))))))))))))))))))))))</f>
        <v/>
      </c>
      <c r="P1" s="2" t="str">
        <f ca="1">IF(Data!B2=Data!K53,Data!L53,IF(Data!B2=Data!K54,Data!L54,IF(Data!B2=Data!K55,Data!L55,IF(Data!B2=Data!K56,Data!L56,IF(Data!B2=Data!K57,Data!L57,IF(Data!B2=Data!K58,Data!L58,IF(Data!B2=Data!K59,Data!L59,IF(Data!B2=Data!K60,Data!L60,IF(Data!B2=Data!K61,Data!L61,IF(Data!B2=Data!K62,Data!L62,IF(Data!B2=Data!K63,Data!L63,IF(Data!B2=Data!K64,Data!L64,IF(Data!B2=Data!K65,Data!L65,IF(Data!B2=Data!K66,Data!L66,IF(Data!B2=Data!K67,Data!L67,IF(Data!B2=Data!K68,Data!L68,IF(Data!B2=Data!K69,Data!L69,IF(Data!B2=Data!K70,Data!L70,IF(Data!B2=Data!K71,Data!L71,IF(Data!B2=Data!K72,Data!L72,IF(Data!B2=Data!K73,Data!L73,IF(Data!B2=Data!K74,Data!L74,IF(Data!B2=Data!K75,Data!L75,IF(Data!B2=Data!K76,Data!L76,IF(Data!B2=Data!K77,Data!L77,IF(Data!B2=Data!K78,Data!L78,IF(Data!B2=Data!K79,Data!L79,IF(Data!B2=Data!K80,Data!L80,IF(Data!B2=Data!K81,Data!L81,IF(Data!B2=Data!K82,Data!L82,IF(Data!B2=Data!K83,Data!L83,IF(Data!B2=Data!K84,Data!L84,IF(Data!B2=Data!K85,Data!L85,IF(Data!B2=Data!K86,Data!L86,IF(Data!B2=Data!K87,Data!L87,IF(Data!B2=Data!K88,Data!L88,IF(Data!B2=Data!K89,Data!L89,IF(Data!B2=Data!K90,Data!L90,IF(Data!B2=Data!K91,Data!L91,IF(Data!B2=Data!K92,Data!L92,IF(Data!B2=Data!K93,Data!L93,IF(Data!B2=Data!K94,Data!L94,IF(Data!B2=Data!K95,Data!L95,IF(Data!B2=Data!K96,Data!L96,IF(Data!B2=Data!K97,Data!L97,IF(Data!B2=Data!K98,Data!L98,IF(Data!B2=Data!K99,Data!L99,IF(Data!B2=Data!K100,Data!L100,IF(Data!B2=Data!K101,Data!L101,IF(Data!B2=Data!K102,Data!L102,""))))))))))))))))))))))))))))))))))))))))))))))))))</f>
        <v/>
      </c>
      <c r="Q1" s="2" t="str">
        <f ca="1">IF(Data!B2=Data!K103,Data!L103,IF(Data!B2=Data!K104,Data!L104,IF(Data!B2=Data!K105,Data!L105,IF(Data!B2=Data!K106,Data!L106,IF(Data!B2=Data!K107,Data!L107,IF(Data!B2=Data!K108,Data!L108,IF(Data!B2=Data!K109,Data!L109,IF(Data!B2=Data!K110,Data!L110,IF(Data!B2=Data!K111,Data!L111,IF(Data!B2=Data!K112,Data!L112,IF(Data!B2=Data!K113,Data!L113,IF(Data!B2=Data!K114,Data!L114,IF(Data!B2=Data!K115,Data!L115,IF(Data!B2=Data!K116,Data!L116,IF(Data!B2=Data!K117,Data!L117,IF(Data!B2=Data!K118,Data!L118,IF(Data!B2=Data!K119,Data!L119,IF(Data!B2=Data!K120,Data!L120,IF(Data!B2=Data!K121,Data!L121,IF(Data!B2=Data!K122,Data!L122,IF(Data!B2=Data!K123,Data!L123,IF(Data!B2=Data!K124,Data!L124,IF(Data!B2=Data!K125,Data!L125,IF(Data!B2=Data!K126,Data!L126,IF(Data!B2=Data!K127,Data!L127,IF(Data!B2=Data!K128,Data!L128,IF(Data!B2=Data!K129,Data!L129,IF(Data!B2=Data!K130,Data!L130,IF(Data!B2=Data!K131,Data!L131,IF(Data!B2=Data!K132,Data!L132,IF(Data!B2=Data!K133,Data!L133,IF(Data!B2=Data!K134,Data!L134,IF(Data!B2=Data!K135,Data!L135,IF(Data!B2=Data!K136,Data!L136,IF(Data!B2=Data!K137,Data!L137,IF(Data!B2=Data!K138,Data!L138,IF(Data!B2=Data!K139,Data!L139,IF(Data!B2=Data!K140,Data!L140,IF(Data!B2=Data!K141,Data!L141,IF(Data!B2=Data!K142,Data!L142,IF(Data!B2=Data!K143,Data!L143,IF(Data!B2=Data!K144,Data!L144,IF(Data!B2=Data!K145,Data!L145,IF(Data!B2=Data!K146,Data!L146,IF(Data!B2=Data!K147,Data!L147,IF(Data!B2=Data!K148,Data!L148,IF(Data!B2=Data!K149,Data!L149,IF(Data!B2=Data!K150,Data!L150,IF(Data!B2=Data!K151,Data!L151,IF(Data!B2=Data!K152,Data!L152,""))))))))))))))))))))))))))))))))))))))))))))))))))</f>
        <v/>
      </c>
      <c r="R1" s="2" t="str">
        <f ca="1">IF(Data!B2=Data!K153,Data!L153,IF(Data!B2=Data!K154,Data!L154,IF(Data!B2=Data!K155,Data!L155,IF(Data!B2=Data!K156,Data!L156,IF(Data!B2=Data!K157,Data!L157,IF(Data!B2=Data!K158,Data!L158,IF(Data!B2=Data!K159,Data!L159,IF(Data!B2=Data!K160,Data!L160,IF(Data!B2=Data!K161,Data!L161,IF(Data!B2=Data!K162,Data!L162,IF(Data!B2=Data!K163,Data!L163,IF(Data!B2=Data!K164,Data!L164,IF(Data!B2=Data!K165,Data!L165,IF(Data!B2=Data!K166,Data!L166,IF(Data!B2=Data!K167,Data!L167,IF(Data!B2=Data!K168,Data!L168,IF(Data!B2=Data!K169,Data!L169,IF(Data!B2=Data!K170,Data!L170,IF(Data!B2=Data!K171,Data!L171,IF(Data!B2=Data!K172,Data!L172,IF(Data!B2=Data!K173,Data!L173,IF(Data!B2=Data!K174,Data!L174,IF(Data!B2=Data!K175,Data!L175,IF(Data!B2=Data!K176,Data!L176,IF(Data!B2=Data!K177,Data!L177,IF(Data!B2=Data!K178,Data!L178,IF(Data!B2=Data!K179,Data!L179,IF(Data!B2=Data!K180,Data!L180,IF(Data!B2=Data!K181,Data!L181,IF(Data!B2=Data!K182,Data!L182,IF(Data!B2=Data!K183,Data!L183,IF(Data!B2=Data!K184,Data!L184,IF(Data!B2=Data!K185,Data!L185,IF(Data!B2=Data!K186,Data!L186,IF(Data!B2=Data!K187,Data!L187,IF(Data!B2=Data!K188,Data!L188,IF(Data!B2=Data!K189,Data!L189,IF(Data!B2=Data!K190,Data!L190,IF(Data!B2=Data!K191,Data!L191,IF(Data!B2=Data!K192,Data!L192,IF(Data!B2=Data!K193,Data!L193,IF(Data!B2=Data!K194,Data!L194,IF(Data!B2=Data!K195,Data!L195,IF(Data!B2=Data!K196,Data!L196,IF(Data!B2=Data!K197,Data!L197,IF(Data!B2=Data!K198,Data!L198,IF(Data!B2=Data!K199,Data!L199,IF(Data!B2=Data!K200,Data!L200,IF(Data!B2=Data!K201,Data!L201,IF(Data!B2=Data!K202,Data!L202,""))))))))))))))))))))))))))))))))))))))))))))))))))</f>
        <v/>
      </c>
      <c r="S1" s="2" t="str">
        <f ca="1">IF(Data!B2=Data!K203,Data!L203,IF(Data!B2=Data!K204,Data!L204,IF(Data!B2=Data!K205,Data!L205,IF(Data!B2=Data!K206,Data!L206,IF(Data!B2=Data!K207,Data!L207,IF(Data!B2=Data!K208,Data!L208,IF(Data!B2=Data!K209,Data!L209,IF(Data!B2=Data!K210,Data!L210,IF(Data!B2=Data!K211,Data!L211,IF(Data!B2=Data!K212,Data!L212,IF(Data!B2=Data!K213,Data!L213,IF(Data!B2=Data!K214,Data!L214,IF(Data!B2=Data!K215,Data!L215,IF(Data!B2=Data!K216,Data!L216,IF(Data!B2=Data!K217,Data!L217,IF(Data!B2=Data!K218,Data!L218,IF(Data!B2=Data!K219,Data!L219,IF(Data!B2=Data!K220,Data!L220,IF(Data!B2=Data!K221,Data!L221,IF(Data!B2=Data!K222,Data!L222,IF(Data!B2=Data!K223,Data!L223,IF(Data!B2=Data!K224,Data!L224,IF(Data!B2=Data!K225,Data!L225,IF(Data!B2=Data!K226,Data!L226,IF(Data!B2=Data!K227,Data!L227,IF(Data!B2=Data!K228,Data!L228,IF(Data!B2=Data!K229,Data!L229,IF(Data!B2=Data!K230,Data!L230,IF(Data!B2=Data!K231,Data!L231,IF(Data!B2=Data!K232,Data!L232,IF(Data!B2=Data!K233,Data!L233,IF(Data!B2=Data!K234,Data!L234,IF(Data!B2=Data!K235,Data!L235,IF(Data!B2=Data!K236,Data!L236,IF(Data!B2=Data!K237,Data!L237,IF(Data!B2=Data!K238,Data!L238,IF(Data!B2=Data!K239,Data!L239,IF(Data!B2=Data!K240,Data!L240,IF(Data!B2=Data!K241,Data!L241,IF(Data!B2=Data!K242,Data!L242,IF(Data!B2=Data!K243,Data!L243,IF(Data!B2=Data!K244,Data!L244,IF(Data!B2=Data!K245,Data!L245,IF(Data!B2=Data!K246,Data!L246,IF(Data!B2=Data!K247,Data!L247,IF(Data!B2=Data!K248,Data!L248,IF(Data!B2=Data!K249,Data!L249,IF(Data!B2=Data!K250,Data!L250,IF(Data!B2=Data!K251,Data!L251,IF(Data!B2=Data!K252,Data!L252,""))))))))))))))))))))))))))))))))))))))))))))))))))</f>
        <v/>
      </c>
      <c r="T1" s="2" t="str">
        <f ca="1">IF(Data!B2=Data!K253,Data!L253,IF(Data!B2=Data!K254,Data!L254,IF(Data!B2=Data!K255,Data!L255,IF(Data!B2=Data!K256,Data!L256,IF(Data!B2=Data!K257,Data!L257,IF(Data!B2=Data!K258,Data!L258,IF(Data!B2=Data!K259,Data!L259,IF(Data!B2=Data!K260,Data!L260,IF(Data!B2=Data!K261,Data!L261,IF(Data!B2=Data!K262,Data!L262,IF(Data!B2=Data!K263,Data!L263,IF(Data!B2=Data!K264,Data!L264,IF(Data!B2=Data!K265,Data!L265,IF(Data!B2=Data!K266,Data!L266,IF(Data!B2=Data!K267,Data!L267,IF(Data!B2=Data!K268,Data!L268,IF(Data!B2=Data!K269,Data!L269,IF(Data!B2=Data!K270,Data!L270,IF(Data!B2=Data!K271,Data!L271,IF(Data!B2=Data!K272,Data!L272,IF(Data!B2=Data!K273,Data!L273,IF(Data!B2=Data!K274,Data!L274,IF(Data!B2=Data!K275,Data!L275,IF(Data!B2=Data!K276,Data!L276,IF(Data!B2=Data!K277,Data!L277,IF(Data!B2=Data!K278,Data!L278,IF(Data!B2=Data!K279,Data!L279,IF(Data!B2=Data!K280,Data!L280,IF(Data!B2=Data!K281,Data!L281,IF(Data!B2=Data!K282,Data!L282,IF(Data!B2=Data!K283,Data!L283,IF(Data!B2=Data!K284,Data!L284,IF(Data!B2=Data!K285,Data!L285,IF(Data!B2=Data!K286,Data!L286,IF(Data!B2=Data!K287,Data!L287,IF(Data!B2=Data!K288,Data!L288,IF(Data!B2=Data!K289,Data!L289,IF(Data!B2=Data!K290,Data!L290,IF(Data!B2=Data!K291,Data!L291,IF(Data!B2=Data!K292,Data!L292,IF(Data!B2=Data!K293,Data!L293,IF(Data!B2=Data!K294,Data!L294,IF(Data!B2=Data!K295,Data!L295,IF(Data!B2=Data!K296,Data!L296,IF(Data!B2=Data!K297,Data!L297,IF(Data!B2=Data!K298,Data!L298,IF(Data!B2=Data!K299,Data!L299,IF(Data!B2=Data!K300,Data!L300,IF(Data!B2=Data!K301,Data!L301,IF(Data!B2=Data!K302,Data!L302,""))))))))))))))))))))))))))))))))))))))))))))))))))</f>
        <v/>
      </c>
      <c r="U1" s="2" t="str">
        <f ca="1">IF(Data!B2=Data!K303,Data!L303,IF(Data!B2=Data!K304,Data!L304,IF(Data!B2=Data!K305,Data!L305,IF(Data!B2=Data!K306,Data!L306,IF(Data!B2=Data!K307,Data!L307,IF(Data!B2=Data!K308,Data!L308,IF(Data!B2=Data!K309,Data!L309,IF(Data!B2=Data!K310,Data!L310,IF(Data!B2=Data!K311,Data!L311,IF(Data!B2=Data!K312,Data!L312,IF(Data!B2=Data!K313,Data!L313,IF(Data!B2=Data!K314,Data!L314,IF(Data!B2=Data!K315,Data!L315,IF(Data!B2=Data!K316,Data!L316,IF(Data!B2=Data!K317,Data!L317,IF(Data!B2=Data!K318,Data!L318,IF(Data!B2=Data!K319,Data!L319,IF(Data!B2=Data!K320,Data!L320,IF(Data!B2=Data!K321,Data!L321,IF(Data!B2=Data!K322,Data!L322,IF(Data!B2=Data!K323,Data!L323,IF(Data!B2=Data!K324,Data!L324,IF(Data!B2=Data!K325,Data!L325,IF(Data!B2=Data!K326,Data!L326,IF(Data!B2=Data!K327,Data!L327,IF(Data!B2=Data!K328,Data!L328,IF(Data!B2=Data!K329,Data!L329,IF(Data!B2=Data!K330,Data!L330,IF(Data!B2=Data!K331,Data!L331,IF(Data!B2=Data!K332,Data!L332,IF(Data!B2=Data!K333,Data!L333,IF(Data!B2=Data!K334,Data!L334,IF(Data!B2=Data!K335,Data!L335,IF(Data!B2=Data!K336,Data!L336,IF(Data!B2=Data!K337,Data!L337,IF(Data!B2=Data!K338,Data!L338,IF(Data!B2=Data!K339,Data!L339,IF(Data!B2=Data!K340,Data!L340,IF(Data!B2=Data!K341,Data!L341,IF(Data!B2=Data!K342,Data!L342,IF(Data!B2=Data!K343,Data!L343,IF(Data!B2=Data!K344,Data!L344,IF(Data!B2=Data!K345,Data!L345,IF(Data!B2=Data!K346,Data!L346,IF(Data!B2=Data!K347,Data!L347,IF(Data!B2=Data!K348,Data!L348,IF(Data!B2=Data!K349,Data!L349,IF(Data!B2=Data!K350,Data!L350,IF(Data!B2=Data!K351,Data!L351,IF(Data!B2=Data!K352,Data!L352,""))))))))))))))))))))))))))))))))))))))))))))))))))</f>
        <v/>
      </c>
    </row>
    <row r="2" spans="1:21" x14ac:dyDescent="0.25">
      <c r="A2" t="str">
        <f ca="1">MID(MID(CELL("filename"),FIND("[",CELL("filename"))+1, FIND("]",CELL("filename"))-FIND("[",CELL("filename"))-1), 1, FIND("_",MID(CELL("filename"),FIND("[",CELL("filename"))+1, FIND("]",CELL("filename"))-FIND("[",CELL("filename"))-1))-1)</f>
        <v>Estados</v>
      </c>
      <c r="B2" t="str">
        <f ca="1">LEFT(A2,LEN(A2)-6)</f>
        <v>E</v>
      </c>
      <c r="C2" t="str">
        <f ca="1">RIGHT(A2,4)</f>
        <v>ados</v>
      </c>
      <c r="D2" t="str">
        <f ca="1">LEFT(RIGHT(A2,6),2)</f>
        <v>st</v>
      </c>
      <c r="F2" s="2" t="s">
        <v>360</v>
      </c>
      <c r="G2" s="2" t="s">
        <v>907</v>
      </c>
      <c r="H2" s="2" t="str">
        <f ca="1">"01 de Marzo de "&amp;C2&amp;" al 30 de Abril de "&amp;C2</f>
        <v>01 de Marzo de ados al 30 de Abril de ados</v>
      </c>
      <c r="I2" s="2">
        <v>4</v>
      </c>
      <c r="K2" s="2" t="s">
        <v>1266</v>
      </c>
      <c r="L2" s="2" t="s">
        <v>951</v>
      </c>
    </row>
    <row r="3" spans="1:21" x14ac:dyDescent="0.25">
      <c r="F3" s="2" t="s">
        <v>361</v>
      </c>
      <c r="G3" s="2" t="s">
        <v>908</v>
      </c>
      <c r="H3" s="2" t="str">
        <f ca="1">"01 de Mayo de "&amp;C2&amp;" al 30 de Junio de "&amp;C2</f>
        <v>01 de Mayo de ados al 30 de Junio de ados</v>
      </c>
      <c r="I3" s="2">
        <v>6</v>
      </c>
      <c r="K3" s="2" t="s">
        <v>1267</v>
      </c>
      <c r="L3" s="2" t="s">
        <v>952</v>
      </c>
    </row>
    <row r="4" spans="1:21" x14ac:dyDescent="0.25">
      <c r="F4" s="2" t="s">
        <v>362</v>
      </c>
      <c r="G4" s="2" t="s">
        <v>909</v>
      </c>
      <c r="H4" s="2" t="str">
        <f ca="1">"01 de Julio de "&amp;C2&amp;" al 31 de Agosto de "&amp;C2</f>
        <v>01 de Julio de ados al 31 de Agosto de ados</v>
      </c>
      <c r="I4" s="2">
        <v>8</v>
      </c>
      <c r="K4" s="2" t="s">
        <v>1268</v>
      </c>
      <c r="L4" s="2" t="s">
        <v>953</v>
      </c>
    </row>
    <row r="5" spans="1:21" x14ac:dyDescent="0.25">
      <c r="F5" s="2" t="s">
        <v>363</v>
      </c>
      <c r="G5" s="2" t="s">
        <v>910</v>
      </c>
      <c r="H5" s="2" t="str">
        <f ca="1">"01 de Setiembre de "&amp;C2&amp;" al 31 de Octubre de "&amp;C2</f>
        <v>01 de Setiembre de ados al 31 de Octubre de ados</v>
      </c>
      <c r="I5" s="2">
        <v>10</v>
      </c>
      <c r="K5" s="2" t="s">
        <v>1269</v>
      </c>
      <c r="L5" s="2" t="s">
        <v>954</v>
      </c>
    </row>
    <row r="6" spans="1:21" x14ac:dyDescent="0.25">
      <c r="F6" s="2" t="s">
        <v>364</v>
      </c>
      <c r="G6" s="2" t="s">
        <v>911</v>
      </c>
      <c r="H6" s="2" t="str">
        <f ca="1">"01 de Noviembre de "&amp;C2&amp;" al 31 de Diciembre de "&amp;C2</f>
        <v>01 de Noviembre de ados al 31 de Diciembre de ados</v>
      </c>
      <c r="I6" s="2">
        <v>12</v>
      </c>
      <c r="K6" s="2" t="s">
        <v>1270</v>
      </c>
      <c r="L6" s="2" t="s">
        <v>955</v>
      </c>
    </row>
    <row r="7" spans="1:21" x14ac:dyDescent="0.25">
      <c r="F7" s="2" t="s">
        <v>365</v>
      </c>
      <c r="G7" s="2" t="s">
        <v>912</v>
      </c>
      <c r="H7" s="2" t="str">
        <f ca="1">"01 de Enero de "&amp;C2&amp;" al 31 de Marzo de "&amp;C2</f>
        <v>01 de Enero de ados al 31 de Marzo de ados</v>
      </c>
      <c r="I7" s="2">
        <v>3</v>
      </c>
      <c r="K7" s="2" t="s">
        <v>1271</v>
      </c>
      <c r="L7" s="2" t="s">
        <v>956</v>
      </c>
    </row>
    <row r="8" spans="1:21" x14ac:dyDescent="0.25">
      <c r="F8" s="2" t="s">
        <v>366</v>
      </c>
      <c r="G8" s="2" t="s">
        <v>908</v>
      </c>
      <c r="H8" s="2" t="str">
        <f ca="1">"01 de Enero de "&amp;C2&amp;" al 30 de Junio de "&amp;C2</f>
        <v>01 de Enero de ados al 30 de Junio de ados</v>
      </c>
      <c r="I8" s="2">
        <v>6</v>
      </c>
      <c r="K8" s="2" t="s">
        <v>1272</v>
      </c>
      <c r="L8" s="2" t="s">
        <v>957</v>
      </c>
    </row>
    <row r="9" spans="1:21" x14ac:dyDescent="0.25">
      <c r="F9" s="2" t="s">
        <v>367</v>
      </c>
      <c r="G9" s="2" t="s">
        <v>913</v>
      </c>
      <c r="H9" s="2" t="str">
        <f ca="1">"01 de Enero de "&amp;C2&amp;" al 30 de Setiembre de "&amp;C2</f>
        <v>01 de Enero de ados al 30 de Setiembre de ados</v>
      </c>
      <c r="I9" s="2">
        <v>9</v>
      </c>
      <c r="K9" s="2" t="s">
        <v>1273</v>
      </c>
      <c r="L9" s="2" t="s">
        <v>958</v>
      </c>
    </row>
    <row r="10" spans="1:21" x14ac:dyDescent="0.25">
      <c r="F10" s="2" t="s">
        <v>368</v>
      </c>
      <c r="G10" s="2" t="s">
        <v>911</v>
      </c>
      <c r="H10" s="2" t="str">
        <f ca="1">"01 de Enero de "&amp;C2&amp;" al 31 de Diciembre de "&amp;C2</f>
        <v>01 de Enero de ados al 31 de Diciembre de ados</v>
      </c>
      <c r="I10" s="2">
        <v>12</v>
      </c>
      <c r="K10" s="2" t="s">
        <v>1274</v>
      </c>
      <c r="L10" s="2" t="s">
        <v>959</v>
      </c>
    </row>
    <row r="11" spans="1:21" x14ac:dyDescent="0.25">
      <c r="F11" s="2" t="s">
        <v>369</v>
      </c>
      <c r="G11" s="2" t="s">
        <v>907</v>
      </c>
      <c r="H11" s="2" t="str">
        <f ca="1">"01 de Enero de "&amp;C2&amp;" al 30 de Abril de "&amp;C2</f>
        <v>01 de Enero de ados al 30 de Abril de ados</v>
      </c>
      <c r="I11" s="2">
        <v>4</v>
      </c>
      <c r="K11" s="2" t="s">
        <v>1275</v>
      </c>
      <c r="L11" s="2" t="s">
        <v>960</v>
      </c>
    </row>
    <row r="12" spans="1:21" x14ac:dyDescent="0.25">
      <c r="F12" s="2" t="s">
        <v>370</v>
      </c>
      <c r="G12" s="2" t="s">
        <v>909</v>
      </c>
      <c r="H12" s="2" t="str">
        <f ca="1">"01 de Mayo de "&amp;C2&amp;" al 31 de Agosto de "&amp;C2</f>
        <v>01 de Mayo de ados al 31 de Agosto de ados</v>
      </c>
      <c r="I12" s="2">
        <v>8</v>
      </c>
      <c r="K12" s="2" t="s">
        <v>1276</v>
      </c>
      <c r="L12" s="2" t="s">
        <v>961</v>
      </c>
    </row>
    <row r="13" spans="1:21" x14ac:dyDescent="0.25">
      <c r="F13" s="2" t="s">
        <v>371</v>
      </c>
      <c r="G13" s="2" t="s">
        <v>911</v>
      </c>
      <c r="H13" s="2" t="str">
        <f ca="1">"01 de Setiembre de "&amp;C2&amp;" al 31 de Diciembre de "&amp;C2</f>
        <v>01 de Setiembre de ados al 31 de Diciembre de ados</v>
      </c>
      <c r="I13" s="2">
        <v>12</v>
      </c>
      <c r="K13" s="2" t="s">
        <v>1277</v>
      </c>
      <c r="L13" s="2" t="s">
        <v>962</v>
      </c>
    </row>
    <row r="14" spans="1:21" x14ac:dyDescent="0.25">
      <c r="F14" s="2" t="s">
        <v>372</v>
      </c>
      <c r="G14" s="2" t="s">
        <v>908</v>
      </c>
      <c r="H14" s="2" t="str">
        <f ca="1">"01 de Enero de "&amp;C2&amp;" al 30 de Junio de "&amp;C2</f>
        <v>01 de Enero de ados al 30 de Junio de ados</v>
      </c>
      <c r="I14" s="2">
        <v>6</v>
      </c>
      <c r="K14" s="2" t="s">
        <v>1278</v>
      </c>
      <c r="L14" s="2" t="s">
        <v>963</v>
      </c>
    </row>
    <row r="15" spans="1:21" x14ac:dyDescent="0.25">
      <c r="F15" s="2" t="s">
        <v>373</v>
      </c>
      <c r="G15" s="2" t="s">
        <v>911</v>
      </c>
      <c r="H15" s="2" t="str">
        <f ca="1">"01 de Julio de "&amp;C2&amp;" al 31 de Diciembre de "&amp;C2</f>
        <v>01 de Julio de ados al 31 de Diciembre de ados</v>
      </c>
      <c r="I15" s="2">
        <v>12</v>
      </c>
      <c r="K15" s="2" t="s">
        <v>1279</v>
      </c>
      <c r="L15" s="2" t="s">
        <v>964</v>
      </c>
    </row>
    <row r="16" spans="1:21" x14ac:dyDescent="0.25">
      <c r="F16" s="2" t="s">
        <v>374</v>
      </c>
      <c r="G16" s="2" t="s">
        <v>911</v>
      </c>
      <c r="H16" s="2" t="str">
        <f ca="1">"01 de Enero de "&amp;C2&amp;" al 31 de Diciembre de " &amp; C2</f>
        <v>01 de Enero de ados al 31 de Diciembre de ados</v>
      </c>
      <c r="I16" s="2">
        <v>12</v>
      </c>
      <c r="K16" s="2" t="s">
        <v>1280</v>
      </c>
      <c r="L16" s="2" t="s">
        <v>965</v>
      </c>
    </row>
    <row r="17" spans="11:12" x14ac:dyDescent="0.25">
      <c r="K17" s="2" t="s">
        <v>1281</v>
      </c>
      <c r="L17" s="2" t="s">
        <v>966</v>
      </c>
    </row>
    <row r="18" spans="11:12" x14ac:dyDescent="0.25">
      <c r="K18" s="2" t="s">
        <v>1282</v>
      </c>
      <c r="L18" s="2" t="s">
        <v>967</v>
      </c>
    </row>
    <row r="19" spans="11:12" x14ac:dyDescent="0.25">
      <c r="K19" s="2" t="s">
        <v>1283</v>
      </c>
      <c r="L19" s="2" t="s">
        <v>968</v>
      </c>
    </row>
    <row r="20" spans="11:12" x14ac:dyDescent="0.25">
      <c r="K20" s="2" t="s">
        <v>1284</v>
      </c>
      <c r="L20" s="2" t="s">
        <v>969</v>
      </c>
    </row>
    <row r="21" spans="11:12" x14ac:dyDescent="0.25">
      <c r="K21" s="2" t="s">
        <v>1285</v>
      </c>
      <c r="L21" s="2" t="s">
        <v>970</v>
      </c>
    </row>
    <row r="22" spans="11:12" x14ac:dyDescent="0.25">
      <c r="K22" s="2" t="s">
        <v>1286</v>
      </c>
      <c r="L22" s="2" t="s">
        <v>971</v>
      </c>
    </row>
    <row r="23" spans="11:12" x14ac:dyDescent="0.25">
      <c r="K23" s="2" t="s">
        <v>1287</v>
      </c>
      <c r="L23" s="2" t="s">
        <v>972</v>
      </c>
    </row>
    <row r="24" spans="11:12" x14ac:dyDescent="0.25">
      <c r="K24" s="2" t="s">
        <v>1288</v>
      </c>
      <c r="L24" s="2" t="s">
        <v>973</v>
      </c>
    </row>
    <row r="25" spans="11:12" x14ac:dyDescent="0.25">
      <c r="K25" s="2" t="s">
        <v>1289</v>
      </c>
      <c r="L25" s="2" t="s">
        <v>974</v>
      </c>
    </row>
    <row r="26" spans="11:12" x14ac:dyDescent="0.25">
      <c r="K26" s="2" t="s">
        <v>1290</v>
      </c>
      <c r="L26" s="2" t="s">
        <v>975</v>
      </c>
    </row>
    <row r="27" spans="11:12" x14ac:dyDescent="0.25">
      <c r="K27" s="2" t="s">
        <v>1291</v>
      </c>
      <c r="L27" s="2" t="s">
        <v>976</v>
      </c>
    </row>
    <row r="28" spans="11:12" x14ac:dyDescent="0.25">
      <c r="K28" s="2" t="s">
        <v>1292</v>
      </c>
      <c r="L28" s="2" t="s">
        <v>977</v>
      </c>
    </row>
    <row r="29" spans="11:12" x14ac:dyDescent="0.25">
      <c r="K29" s="2" t="s">
        <v>1293</v>
      </c>
      <c r="L29" s="2" t="s">
        <v>978</v>
      </c>
    </row>
    <row r="30" spans="11:12" x14ac:dyDescent="0.25">
      <c r="K30" s="2" t="s">
        <v>1294</v>
      </c>
      <c r="L30" s="2" t="s">
        <v>979</v>
      </c>
    </row>
    <row r="31" spans="11:12" x14ac:dyDescent="0.25">
      <c r="K31" s="2" t="s">
        <v>1295</v>
      </c>
      <c r="L31" s="2" t="s">
        <v>980</v>
      </c>
    </row>
    <row r="32" spans="11:12" x14ac:dyDescent="0.25">
      <c r="K32" s="2" t="s">
        <v>1296</v>
      </c>
      <c r="L32" s="2" t="s">
        <v>981</v>
      </c>
    </row>
    <row r="33" spans="11:12" x14ac:dyDescent="0.25">
      <c r="K33" s="2" t="s">
        <v>1297</v>
      </c>
      <c r="L33" s="2" t="s">
        <v>982</v>
      </c>
    </row>
    <row r="34" spans="11:12" x14ac:dyDescent="0.25">
      <c r="K34" s="2" t="s">
        <v>1298</v>
      </c>
      <c r="L34" s="2" t="s">
        <v>983</v>
      </c>
    </row>
    <row r="35" spans="11:12" x14ac:dyDescent="0.25">
      <c r="K35" s="2" t="s">
        <v>1299</v>
      </c>
      <c r="L35" s="2" t="s">
        <v>984</v>
      </c>
    </row>
    <row r="36" spans="11:12" x14ac:dyDescent="0.25">
      <c r="K36" s="2" t="s">
        <v>1300</v>
      </c>
      <c r="L36" s="2" t="s">
        <v>985</v>
      </c>
    </row>
    <row r="37" spans="11:12" x14ac:dyDescent="0.25">
      <c r="K37" s="2" t="s">
        <v>1301</v>
      </c>
      <c r="L37" s="2" t="s">
        <v>986</v>
      </c>
    </row>
    <row r="38" spans="11:12" x14ac:dyDescent="0.25">
      <c r="K38" s="2" t="s">
        <v>1302</v>
      </c>
      <c r="L38" s="2" t="s">
        <v>987</v>
      </c>
    </row>
    <row r="39" spans="11:12" x14ac:dyDescent="0.25">
      <c r="K39" s="2" t="s">
        <v>1303</v>
      </c>
      <c r="L39" s="2" t="s">
        <v>988</v>
      </c>
    </row>
    <row r="40" spans="11:12" x14ac:dyDescent="0.25">
      <c r="K40" s="2" t="s">
        <v>1304</v>
      </c>
      <c r="L40" s="2" t="s">
        <v>989</v>
      </c>
    </row>
    <row r="41" spans="11:12" x14ac:dyDescent="0.25">
      <c r="K41" s="2" t="s">
        <v>1305</v>
      </c>
      <c r="L41" s="2" t="s">
        <v>990</v>
      </c>
    </row>
    <row r="42" spans="11:12" x14ac:dyDescent="0.25">
      <c r="K42" s="3" t="s">
        <v>1588</v>
      </c>
      <c r="L42" s="2" t="s">
        <v>1586</v>
      </c>
    </row>
    <row r="43" spans="11:12" x14ac:dyDescent="0.25">
      <c r="K43" s="3" t="s">
        <v>1589</v>
      </c>
      <c r="L43" s="2" t="s">
        <v>1587</v>
      </c>
    </row>
    <row r="44" spans="11:12" x14ac:dyDescent="0.25">
      <c r="K44" s="2" t="s">
        <v>1306</v>
      </c>
      <c r="L44" s="2" t="s">
        <v>991</v>
      </c>
    </row>
    <row r="45" spans="11:12" x14ac:dyDescent="0.25">
      <c r="K45" s="2" t="s">
        <v>1307</v>
      </c>
      <c r="L45" s="2" t="s">
        <v>992</v>
      </c>
    </row>
    <row r="46" spans="11:12" x14ac:dyDescent="0.25">
      <c r="K46" s="2" t="s">
        <v>1308</v>
      </c>
      <c r="L46" s="2" t="s">
        <v>993</v>
      </c>
    </row>
    <row r="47" spans="11:12" x14ac:dyDescent="0.25">
      <c r="K47" s="2" t="s">
        <v>1309</v>
      </c>
      <c r="L47" s="2" t="s">
        <v>994</v>
      </c>
    </row>
    <row r="48" spans="11:12" x14ac:dyDescent="0.25">
      <c r="K48" s="2" t="s">
        <v>1310</v>
      </c>
      <c r="L48" s="2" t="s">
        <v>995</v>
      </c>
    </row>
    <row r="49" spans="11:12" x14ac:dyDescent="0.25">
      <c r="K49" s="2" t="s">
        <v>1311</v>
      </c>
      <c r="L49" s="2" t="s">
        <v>996</v>
      </c>
    </row>
    <row r="50" spans="11:12" x14ac:dyDescent="0.25">
      <c r="K50" s="2" t="s">
        <v>1312</v>
      </c>
      <c r="L50" s="2" t="s">
        <v>997</v>
      </c>
    </row>
    <row r="51" spans="11:12" x14ac:dyDescent="0.25">
      <c r="K51" s="2" t="s">
        <v>1313</v>
      </c>
      <c r="L51" s="2" t="s">
        <v>998</v>
      </c>
    </row>
    <row r="52" spans="11:12" x14ac:dyDescent="0.25">
      <c r="K52" s="2" t="s">
        <v>1314</v>
      </c>
      <c r="L52" s="2" t="s">
        <v>999</v>
      </c>
    </row>
    <row r="53" spans="11:12" x14ac:dyDescent="0.25">
      <c r="K53" s="2" t="s">
        <v>1315</v>
      </c>
      <c r="L53" s="2" t="s">
        <v>1000</v>
      </c>
    </row>
    <row r="54" spans="11:12" x14ac:dyDescent="0.25">
      <c r="K54" s="2" t="s">
        <v>1316</v>
      </c>
      <c r="L54" s="2" t="s">
        <v>1001</v>
      </c>
    </row>
    <row r="55" spans="11:12" x14ac:dyDescent="0.25">
      <c r="K55" s="2" t="s">
        <v>1317</v>
      </c>
      <c r="L55" s="2" t="s">
        <v>1002</v>
      </c>
    </row>
    <row r="56" spans="11:12" x14ac:dyDescent="0.25">
      <c r="K56" s="2" t="s">
        <v>1318</v>
      </c>
      <c r="L56" s="2" t="s">
        <v>1003</v>
      </c>
    </row>
    <row r="57" spans="11:12" x14ac:dyDescent="0.25">
      <c r="K57" s="2" t="s">
        <v>1319</v>
      </c>
      <c r="L57" s="2" t="s">
        <v>1004</v>
      </c>
    </row>
    <row r="58" spans="11:12" x14ac:dyDescent="0.25">
      <c r="K58" s="2" t="s">
        <v>1320</v>
      </c>
      <c r="L58" s="2" t="s">
        <v>1005</v>
      </c>
    </row>
    <row r="59" spans="11:12" x14ac:dyDescent="0.25">
      <c r="K59" s="2" t="s">
        <v>1321</v>
      </c>
      <c r="L59" s="2" t="s">
        <v>1006</v>
      </c>
    </row>
    <row r="60" spans="11:12" x14ac:dyDescent="0.25">
      <c r="K60" s="2" t="s">
        <v>1322</v>
      </c>
      <c r="L60" s="2" t="s">
        <v>1007</v>
      </c>
    </row>
    <row r="61" spans="11:12" x14ac:dyDescent="0.25">
      <c r="K61" s="2" t="s">
        <v>1323</v>
      </c>
      <c r="L61" s="2" t="s">
        <v>1008</v>
      </c>
    </row>
    <row r="62" spans="11:12" x14ac:dyDescent="0.25">
      <c r="K62" s="2" t="s">
        <v>1324</v>
      </c>
      <c r="L62" s="2" t="s">
        <v>1009</v>
      </c>
    </row>
    <row r="63" spans="11:12" x14ac:dyDescent="0.25">
      <c r="K63" s="2" t="s">
        <v>1325</v>
      </c>
      <c r="L63" s="2" t="s">
        <v>1010</v>
      </c>
    </row>
    <row r="64" spans="11:12" x14ac:dyDescent="0.25">
      <c r="K64" s="2" t="s">
        <v>1326</v>
      </c>
      <c r="L64" s="2" t="s">
        <v>1011</v>
      </c>
    </row>
    <row r="65" spans="11:12" x14ac:dyDescent="0.25">
      <c r="K65" s="2" t="s">
        <v>1327</v>
      </c>
      <c r="L65" s="2" t="s">
        <v>1012</v>
      </c>
    </row>
    <row r="66" spans="11:12" x14ac:dyDescent="0.25">
      <c r="K66" s="2" t="s">
        <v>1328</v>
      </c>
      <c r="L66" s="2" t="s">
        <v>1013</v>
      </c>
    </row>
    <row r="67" spans="11:12" x14ac:dyDescent="0.25">
      <c r="K67" s="2" t="s">
        <v>1329</v>
      </c>
      <c r="L67" s="2" t="s">
        <v>1014</v>
      </c>
    </row>
    <row r="68" spans="11:12" x14ac:dyDescent="0.25">
      <c r="K68" s="2" t="s">
        <v>1330</v>
      </c>
      <c r="L68" s="2" t="s">
        <v>1015</v>
      </c>
    </row>
    <row r="69" spans="11:12" x14ac:dyDescent="0.25">
      <c r="K69" s="2" t="s">
        <v>1331</v>
      </c>
      <c r="L69" s="2" t="s">
        <v>1016</v>
      </c>
    </row>
    <row r="70" spans="11:12" x14ac:dyDescent="0.25">
      <c r="K70" s="2" t="s">
        <v>1332</v>
      </c>
      <c r="L70" s="2" t="s">
        <v>1017</v>
      </c>
    </row>
    <row r="71" spans="11:12" x14ac:dyDescent="0.25">
      <c r="K71" s="2" t="s">
        <v>1333</v>
      </c>
      <c r="L71" s="2" t="s">
        <v>1018</v>
      </c>
    </row>
    <row r="72" spans="11:12" x14ac:dyDescent="0.25">
      <c r="K72" s="2" t="s">
        <v>1334</v>
      </c>
      <c r="L72" s="2" t="s">
        <v>1019</v>
      </c>
    </row>
    <row r="73" spans="11:12" x14ac:dyDescent="0.25">
      <c r="K73" s="2" t="s">
        <v>1335</v>
      </c>
      <c r="L73" s="2" t="s">
        <v>1020</v>
      </c>
    </row>
    <row r="74" spans="11:12" x14ac:dyDescent="0.25">
      <c r="K74" s="2" t="s">
        <v>1336</v>
      </c>
      <c r="L74" s="2" t="s">
        <v>1021</v>
      </c>
    </row>
    <row r="75" spans="11:12" x14ac:dyDescent="0.25">
      <c r="K75" s="2" t="s">
        <v>1337</v>
      </c>
      <c r="L75" s="2" t="s">
        <v>1022</v>
      </c>
    </row>
    <row r="76" spans="11:12" x14ac:dyDescent="0.25">
      <c r="K76" s="2" t="s">
        <v>1338</v>
      </c>
      <c r="L76" s="2" t="s">
        <v>1023</v>
      </c>
    </row>
    <row r="77" spans="11:12" x14ac:dyDescent="0.25">
      <c r="K77" s="2" t="s">
        <v>1339</v>
      </c>
      <c r="L77" s="2" t="s">
        <v>1024</v>
      </c>
    </row>
    <row r="78" spans="11:12" x14ac:dyDescent="0.25">
      <c r="K78" s="2" t="s">
        <v>1340</v>
      </c>
      <c r="L78" s="2" t="s">
        <v>1025</v>
      </c>
    </row>
    <row r="79" spans="11:12" x14ac:dyDescent="0.25">
      <c r="K79" s="2" t="s">
        <v>1341</v>
      </c>
      <c r="L79" s="2" t="s">
        <v>1026</v>
      </c>
    </row>
    <row r="80" spans="11:12" x14ac:dyDescent="0.25">
      <c r="K80" s="2" t="s">
        <v>1342</v>
      </c>
      <c r="L80" s="2" t="s">
        <v>1027</v>
      </c>
    </row>
    <row r="81" spans="11:12" x14ac:dyDescent="0.25">
      <c r="K81" s="2" t="s">
        <v>1343</v>
      </c>
      <c r="L81" s="2" t="s">
        <v>1028</v>
      </c>
    </row>
    <row r="82" spans="11:12" x14ac:dyDescent="0.25">
      <c r="K82" s="2" t="s">
        <v>1344</v>
      </c>
      <c r="L82" s="2" t="s">
        <v>1029</v>
      </c>
    </row>
    <row r="83" spans="11:12" x14ac:dyDescent="0.25">
      <c r="K83" s="2" t="s">
        <v>1345</v>
      </c>
      <c r="L83" s="2" t="s">
        <v>1030</v>
      </c>
    </row>
    <row r="84" spans="11:12" x14ac:dyDescent="0.25">
      <c r="K84" s="2" t="s">
        <v>1346</v>
      </c>
      <c r="L84" s="2" t="s">
        <v>1031</v>
      </c>
    </row>
    <row r="85" spans="11:12" x14ac:dyDescent="0.25">
      <c r="K85" s="2" t="s">
        <v>1347</v>
      </c>
      <c r="L85" s="2" t="s">
        <v>1032</v>
      </c>
    </row>
    <row r="86" spans="11:12" x14ac:dyDescent="0.25">
      <c r="K86" s="2" t="s">
        <v>1348</v>
      </c>
      <c r="L86" s="2" t="s">
        <v>1033</v>
      </c>
    </row>
    <row r="87" spans="11:12" x14ac:dyDescent="0.25">
      <c r="K87" s="2" t="s">
        <v>1349</v>
      </c>
      <c r="L87" s="2" t="s">
        <v>1034</v>
      </c>
    </row>
    <row r="88" spans="11:12" x14ac:dyDescent="0.25">
      <c r="K88" s="2" t="s">
        <v>1350</v>
      </c>
      <c r="L88" s="2" t="s">
        <v>1035</v>
      </c>
    </row>
    <row r="89" spans="11:12" x14ac:dyDescent="0.25">
      <c r="K89" s="2" t="s">
        <v>1351</v>
      </c>
      <c r="L89" s="2" t="s">
        <v>1036</v>
      </c>
    </row>
    <row r="90" spans="11:12" x14ac:dyDescent="0.25">
      <c r="K90" s="2" t="s">
        <v>1352</v>
      </c>
      <c r="L90" s="2" t="s">
        <v>1037</v>
      </c>
    </row>
    <row r="91" spans="11:12" x14ac:dyDescent="0.25">
      <c r="K91" s="2" t="s">
        <v>1353</v>
      </c>
      <c r="L91" s="2" t="s">
        <v>1038</v>
      </c>
    </row>
    <row r="92" spans="11:12" x14ac:dyDescent="0.25">
      <c r="K92" s="2" t="s">
        <v>1354</v>
      </c>
      <c r="L92" s="2" t="s">
        <v>1039</v>
      </c>
    </row>
    <row r="93" spans="11:12" x14ac:dyDescent="0.25">
      <c r="K93" s="2" t="s">
        <v>1355</v>
      </c>
      <c r="L93" s="2" t="s">
        <v>1040</v>
      </c>
    </row>
    <row r="94" spans="11:12" x14ac:dyDescent="0.25">
      <c r="K94" s="2" t="s">
        <v>1356</v>
      </c>
      <c r="L94" s="2" t="s">
        <v>1041</v>
      </c>
    </row>
    <row r="95" spans="11:12" x14ac:dyDescent="0.25">
      <c r="K95" s="2" t="s">
        <v>1357</v>
      </c>
      <c r="L95" s="2" t="s">
        <v>1042</v>
      </c>
    </row>
    <row r="96" spans="11:12" x14ac:dyDescent="0.25">
      <c r="K96" s="2" t="s">
        <v>1358</v>
      </c>
      <c r="L96" s="2" t="s">
        <v>1043</v>
      </c>
    </row>
    <row r="97" spans="11:12" x14ac:dyDescent="0.25">
      <c r="K97" s="2" t="s">
        <v>1359</v>
      </c>
      <c r="L97" s="2" t="s">
        <v>1044</v>
      </c>
    </row>
    <row r="98" spans="11:12" x14ac:dyDescent="0.25">
      <c r="K98" s="2" t="s">
        <v>1360</v>
      </c>
      <c r="L98" s="2" t="s">
        <v>1045</v>
      </c>
    </row>
    <row r="99" spans="11:12" x14ac:dyDescent="0.25">
      <c r="K99" s="2" t="s">
        <v>1361</v>
      </c>
      <c r="L99" s="2" t="s">
        <v>1046</v>
      </c>
    </row>
    <row r="100" spans="11:12" x14ac:dyDescent="0.25">
      <c r="K100" s="2" t="s">
        <v>1362</v>
      </c>
      <c r="L100" s="2" t="s">
        <v>1047</v>
      </c>
    </row>
    <row r="101" spans="11:12" x14ac:dyDescent="0.25">
      <c r="K101" s="2" t="s">
        <v>1363</v>
      </c>
      <c r="L101" s="2" t="s">
        <v>1048</v>
      </c>
    </row>
    <row r="102" spans="11:12" x14ac:dyDescent="0.25">
      <c r="K102" s="2" t="s">
        <v>1364</v>
      </c>
      <c r="L102" s="2" t="s">
        <v>1049</v>
      </c>
    </row>
    <row r="103" spans="11:12" x14ac:dyDescent="0.25">
      <c r="K103" s="2" t="s">
        <v>1365</v>
      </c>
      <c r="L103" s="2" t="s">
        <v>1050</v>
      </c>
    </row>
    <row r="104" spans="11:12" x14ac:dyDescent="0.25">
      <c r="K104" s="2" t="s">
        <v>1366</v>
      </c>
      <c r="L104" s="2" t="s">
        <v>1051</v>
      </c>
    </row>
    <row r="105" spans="11:12" x14ac:dyDescent="0.25">
      <c r="K105" s="2" t="s">
        <v>1367</v>
      </c>
      <c r="L105" s="2" t="s">
        <v>1052</v>
      </c>
    </row>
    <row r="106" spans="11:12" x14ac:dyDescent="0.25">
      <c r="K106" s="2" t="s">
        <v>1368</v>
      </c>
      <c r="L106" s="2" t="s">
        <v>1053</v>
      </c>
    </row>
    <row r="107" spans="11:12" x14ac:dyDescent="0.25">
      <c r="K107" s="2" t="s">
        <v>1369</v>
      </c>
      <c r="L107" s="2" t="s">
        <v>1054</v>
      </c>
    </row>
    <row r="108" spans="11:12" x14ac:dyDescent="0.25">
      <c r="K108" s="2" t="s">
        <v>1370</v>
      </c>
      <c r="L108" s="2" t="s">
        <v>1055</v>
      </c>
    </row>
    <row r="109" spans="11:12" x14ac:dyDescent="0.25">
      <c r="K109" s="2" t="s">
        <v>1371</v>
      </c>
      <c r="L109" s="2" t="s">
        <v>1056</v>
      </c>
    </row>
    <row r="110" spans="11:12" x14ac:dyDescent="0.25">
      <c r="K110" s="2" t="s">
        <v>1372</v>
      </c>
      <c r="L110" s="2" t="s">
        <v>1057</v>
      </c>
    </row>
    <row r="111" spans="11:12" x14ac:dyDescent="0.25">
      <c r="K111" s="2" t="s">
        <v>1373</v>
      </c>
      <c r="L111" s="2" t="s">
        <v>1058</v>
      </c>
    </row>
    <row r="112" spans="11:12" x14ac:dyDescent="0.25">
      <c r="K112" s="2" t="s">
        <v>1374</v>
      </c>
      <c r="L112" s="2" t="s">
        <v>1059</v>
      </c>
    </row>
    <row r="113" spans="11:12" x14ac:dyDescent="0.25">
      <c r="K113" s="2" t="s">
        <v>1375</v>
      </c>
      <c r="L113" s="2" t="s">
        <v>1060</v>
      </c>
    </row>
    <row r="114" spans="11:12" x14ac:dyDescent="0.25">
      <c r="K114" s="2" t="s">
        <v>1376</v>
      </c>
      <c r="L114" s="2" t="s">
        <v>1061</v>
      </c>
    </row>
    <row r="115" spans="11:12" x14ac:dyDescent="0.25">
      <c r="K115" s="2" t="s">
        <v>1377</v>
      </c>
      <c r="L115" s="2" t="s">
        <v>1062</v>
      </c>
    </row>
    <row r="116" spans="11:12" x14ac:dyDescent="0.25">
      <c r="K116" s="2" t="s">
        <v>1378</v>
      </c>
      <c r="L116" s="2" t="s">
        <v>1063</v>
      </c>
    </row>
    <row r="117" spans="11:12" x14ac:dyDescent="0.25">
      <c r="K117" s="2" t="s">
        <v>1379</v>
      </c>
      <c r="L117" s="2" t="s">
        <v>1064</v>
      </c>
    </row>
    <row r="118" spans="11:12" x14ac:dyDescent="0.25">
      <c r="K118" s="2" t="s">
        <v>1380</v>
      </c>
      <c r="L118" s="2" t="s">
        <v>1065</v>
      </c>
    </row>
    <row r="119" spans="11:12" x14ac:dyDescent="0.25">
      <c r="K119" s="2" t="s">
        <v>1381</v>
      </c>
      <c r="L119" s="2" t="s">
        <v>1066</v>
      </c>
    </row>
    <row r="120" spans="11:12" x14ac:dyDescent="0.25">
      <c r="K120" s="2" t="s">
        <v>1382</v>
      </c>
      <c r="L120" s="2" t="s">
        <v>1067</v>
      </c>
    </row>
    <row r="121" spans="11:12" x14ac:dyDescent="0.25">
      <c r="K121" s="2" t="s">
        <v>1383</v>
      </c>
      <c r="L121" s="2" t="s">
        <v>1068</v>
      </c>
    </row>
    <row r="122" spans="11:12" x14ac:dyDescent="0.25">
      <c r="K122" s="2" t="s">
        <v>1384</v>
      </c>
      <c r="L122" s="2" t="s">
        <v>1069</v>
      </c>
    </row>
    <row r="123" spans="11:12" x14ac:dyDescent="0.25">
      <c r="K123" s="2" t="s">
        <v>1385</v>
      </c>
      <c r="L123" s="2" t="s">
        <v>1070</v>
      </c>
    </row>
    <row r="124" spans="11:12" x14ac:dyDescent="0.25">
      <c r="K124" s="2" t="s">
        <v>1386</v>
      </c>
      <c r="L124" s="2" t="s">
        <v>1071</v>
      </c>
    </row>
    <row r="125" spans="11:12" x14ac:dyDescent="0.25">
      <c r="K125" s="2" t="s">
        <v>1387</v>
      </c>
      <c r="L125" s="2" t="s">
        <v>1072</v>
      </c>
    </row>
    <row r="126" spans="11:12" x14ac:dyDescent="0.25">
      <c r="K126" s="2" t="s">
        <v>1388</v>
      </c>
      <c r="L126" s="2" t="s">
        <v>1073</v>
      </c>
    </row>
    <row r="127" spans="11:12" x14ac:dyDescent="0.25">
      <c r="K127" s="2" t="s">
        <v>1389</v>
      </c>
      <c r="L127" s="2" t="s">
        <v>1074</v>
      </c>
    </row>
    <row r="128" spans="11:12" x14ac:dyDescent="0.25">
      <c r="K128" s="2" t="s">
        <v>1390</v>
      </c>
      <c r="L128" s="2" t="s">
        <v>1075</v>
      </c>
    </row>
    <row r="129" spans="11:12" x14ac:dyDescent="0.25">
      <c r="K129" s="2" t="s">
        <v>1391</v>
      </c>
      <c r="L129" s="2" t="s">
        <v>1076</v>
      </c>
    </row>
    <row r="130" spans="11:12" x14ac:dyDescent="0.25">
      <c r="K130" s="2" t="s">
        <v>1392</v>
      </c>
      <c r="L130" s="2" t="s">
        <v>1077</v>
      </c>
    </row>
    <row r="131" spans="11:12" x14ac:dyDescent="0.25">
      <c r="K131" s="2" t="s">
        <v>1393</v>
      </c>
      <c r="L131" s="2" t="s">
        <v>1078</v>
      </c>
    </row>
    <row r="132" spans="11:12" x14ac:dyDescent="0.25">
      <c r="K132" s="2" t="s">
        <v>1394</v>
      </c>
      <c r="L132" s="2" t="s">
        <v>1079</v>
      </c>
    </row>
    <row r="133" spans="11:12" x14ac:dyDescent="0.25">
      <c r="K133" s="2" t="s">
        <v>1395</v>
      </c>
      <c r="L133" s="2" t="s">
        <v>1080</v>
      </c>
    </row>
    <row r="134" spans="11:12" x14ac:dyDescent="0.25">
      <c r="K134" s="2" t="s">
        <v>1396</v>
      </c>
      <c r="L134" s="2" t="s">
        <v>1081</v>
      </c>
    </row>
    <row r="135" spans="11:12" x14ac:dyDescent="0.25">
      <c r="K135" s="2" t="s">
        <v>1397</v>
      </c>
      <c r="L135" s="2" t="s">
        <v>1082</v>
      </c>
    </row>
    <row r="136" spans="11:12" x14ac:dyDescent="0.25">
      <c r="K136" s="2" t="s">
        <v>1398</v>
      </c>
      <c r="L136" s="2" t="s">
        <v>1083</v>
      </c>
    </row>
    <row r="137" spans="11:12" x14ac:dyDescent="0.25">
      <c r="K137" s="2" t="s">
        <v>1399</v>
      </c>
      <c r="L137" s="2" t="s">
        <v>1084</v>
      </c>
    </row>
    <row r="138" spans="11:12" x14ac:dyDescent="0.25">
      <c r="K138" s="2" t="s">
        <v>1400</v>
      </c>
      <c r="L138" s="2" t="s">
        <v>1085</v>
      </c>
    </row>
    <row r="139" spans="11:12" x14ac:dyDescent="0.25">
      <c r="K139" s="2" t="s">
        <v>1401</v>
      </c>
      <c r="L139" s="2" t="s">
        <v>1086</v>
      </c>
    </row>
    <row r="140" spans="11:12" x14ac:dyDescent="0.25">
      <c r="K140" s="2" t="s">
        <v>1402</v>
      </c>
      <c r="L140" s="2" t="s">
        <v>1087</v>
      </c>
    </row>
    <row r="141" spans="11:12" x14ac:dyDescent="0.25">
      <c r="K141" s="2" t="s">
        <v>1403</v>
      </c>
      <c r="L141" s="2" t="s">
        <v>1088</v>
      </c>
    </row>
    <row r="142" spans="11:12" x14ac:dyDescent="0.25">
      <c r="K142" s="2" t="s">
        <v>1404</v>
      </c>
      <c r="L142" s="2" t="s">
        <v>1089</v>
      </c>
    </row>
    <row r="143" spans="11:12" x14ac:dyDescent="0.25">
      <c r="K143" s="2" t="s">
        <v>1405</v>
      </c>
      <c r="L143" s="2" t="s">
        <v>1090</v>
      </c>
    </row>
    <row r="144" spans="11:12" x14ac:dyDescent="0.25">
      <c r="K144" s="2" t="s">
        <v>1406</v>
      </c>
      <c r="L144" s="2" t="s">
        <v>1091</v>
      </c>
    </row>
    <row r="145" spans="11:12" x14ac:dyDescent="0.25">
      <c r="K145" s="2" t="s">
        <v>1407</v>
      </c>
      <c r="L145" s="2" t="s">
        <v>1092</v>
      </c>
    </row>
    <row r="146" spans="11:12" x14ac:dyDescent="0.25">
      <c r="K146" s="2" t="s">
        <v>1408</v>
      </c>
      <c r="L146" s="2" t="s">
        <v>1093</v>
      </c>
    </row>
    <row r="147" spans="11:12" x14ac:dyDescent="0.25">
      <c r="K147" s="2" t="s">
        <v>1409</v>
      </c>
      <c r="L147" s="2" t="s">
        <v>1094</v>
      </c>
    </row>
    <row r="148" spans="11:12" x14ac:dyDescent="0.25">
      <c r="K148" s="2" t="s">
        <v>1410</v>
      </c>
      <c r="L148" s="2" t="s">
        <v>1095</v>
      </c>
    </row>
    <row r="149" spans="11:12" x14ac:dyDescent="0.25">
      <c r="K149" s="2" t="s">
        <v>1411</v>
      </c>
      <c r="L149" s="2" t="s">
        <v>1096</v>
      </c>
    </row>
    <row r="150" spans="11:12" x14ac:dyDescent="0.25">
      <c r="K150" s="2" t="s">
        <v>1412</v>
      </c>
      <c r="L150" s="2" t="s">
        <v>1097</v>
      </c>
    </row>
    <row r="151" spans="11:12" x14ac:dyDescent="0.25">
      <c r="K151" s="2" t="s">
        <v>1413</v>
      </c>
      <c r="L151" s="2" t="s">
        <v>1098</v>
      </c>
    </row>
    <row r="152" spans="11:12" x14ac:dyDescent="0.25">
      <c r="K152" s="2" t="s">
        <v>1414</v>
      </c>
      <c r="L152" s="2" t="s">
        <v>1099</v>
      </c>
    </row>
    <row r="153" spans="11:12" x14ac:dyDescent="0.25">
      <c r="K153" s="2" t="s">
        <v>1415</v>
      </c>
      <c r="L153" s="2" t="s">
        <v>1100</v>
      </c>
    </row>
    <row r="154" spans="11:12" x14ac:dyDescent="0.25">
      <c r="K154" s="2" t="s">
        <v>1416</v>
      </c>
      <c r="L154" s="2" t="s">
        <v>1101</v>
      </c>
    </row>
    <row r="155" spans="11:12" x14ac:dyDescent="0.25">
      <c r="K155" s="2" t="s">
        <v>1417</v>
      </c>
      <c r="L155" s="2" t="s">
        <v>1102</v>
      </c>
    </row>
    <row r="156" spans="11:12" x14ac:dyDescent="0.25">
      <c r="K156" s="2" t="s">
        <v>1418</v>
      </c>
      <c r="L156" s="2" t="s">
        <v>1103</v>
      </c>
    </row>
    <row r="157" spans="11:12" x14ac:dyDescent="0.25">
      <c r="K157" s="2" t="s">
        <v>1419</v>
      </c>
      <c r="L157" s="2" t="s">
        <v>1104</v>
      </c>
    </row>
    <row r="158" spans="11:12" x14ac:dyDescent="0.25">
      <c r="K158" s="2" t="s">
        <v>1420</v>
      </c>
      <c r="L158" s="2" t="s">
        <v>1105</v>
      </c>
    </row>
    <row r="159" spans="11:12" x14ac:dyDescent="0.25">
      <c r="K159" s="2" t="s">
        <v>1421</v>
      </c>
      <c r="L159" s="2" t="s">
        <v>1106</v>
      </c>
    </row>
    <row r="160" spans="11:12" x14ac:dyDescent="0.25">
      <c r="K160" s="2" t="s">
        <v>1422</v>
      </c>
      <c r="L160" s="2" t="s">
        <v>1107</v>
      </c>
    </row>
    <row r="161" spans="11:12" x14ac:dyDescent="0.25">
      <c r="K161" s="2" t="s">
        <v>1423</v>
      </c>
      <c r="L161" s="2" t="s">
        <v>1108</v>
      </c>
    </row>
    <row r="162" spans="11:12" x14ac:dyDescent="0.25">
      <c r="K162" s="2" t="s">
        <v>1424</v>
      </c>
      <c r="L162" s="2" t="s">
        <v>1109</v>
      </c>
    </row>
    <row r="163" spans="11:12" x14ac:dyDescent="0.25">
      <c r="K163" s="2" t="s">
        <v>1425</v>
      </c>
      <c r="L163" s="2" t="s">
        <v>1110</v>
      </c>
    </row>
    <row r="164" spans="11:12" x14ac:dyDescent="0.25">
      <c r="K164" s="2" t="s">
        <v>1426</v>
      </c>
      <c r="L164" s="2" t="s">
        <v>1111</v>
      </c>
    </row>
    <row r="165" spans="11:12" x14ac:dyDescent="0.25">
      <c r="K165" s="2" t="s">
        <v>1427</v>
      </c>
      <c r="L165" s="2" t="s">
        <v>1112</v>
      </c>
    </row>
    <row r="166" spans="11:12" x14ac:dyDescent="0.25">
      <c r="K166" s="2" t="s">
        <v>1428</v>
      </c>
      <c r="L166" s="2" t="s">
        <v>1113</v>
      </c>
    </row>
    <row r="167" spans="11:12" x14ac:dyDescent="0.25">
      <c r="K167" s="2" t="s">
        <v>1429</v>
      </c>
      <c r="L167" s="2" t="s">
        <v>1114</v>
      </c>
    </row>
    <row r="168" spans="11:12" x14ac:dyDescent="0.25">
      <c r="K168" s="2" t="s">
        <v>1430</v>
      </c>
      <c r="L168" s="2" t="s">
        <v>1115</v>
      </c>
    </row>
    <row r="169" spans="11:12" x14ac:dyDescent="0.25">
      <c r="K169" s="2" t="s">
        <v>1431</v>
      </c>
      <c r="L169" s="2" t="s">
        <v>1116</v>
      </c>
    </row>
    <row r="170" spans="11:12" x14ac:dyDescent="0.25">
      <c r="K170" s="2" t="s">
        <v>1432</v>
      </c>
      <c r="L170" s="2" t="s">
        <v>1117</v>
      </c>
    </row>
    <row r="171" spans="11:12" x14ac:dyDescent="0.25">
      <c r="K171" s="2" t="s">
        <v>1433</v>
      </c>
      <c r="L171" s="2" t="s">
        <v>1118</v>
      </c>
    </row>
    <row r="172" spans="11:12" x14ac:dyDescent="0.25">
      <c r="K172" s="2" t="s">
        <v>1434</v>
      </c>
      <c r="L172" s="2" t="s">
        <v>1119</v>
      </c>
    </row>
    <row r="173" spans="11:12" x14ac:dyDescent="0.25">
      <c r="K173" s="2" t="s">
        <v>1435</v>
      </c>
      <c r="L173" s="2" t="s">
        <v>1120</v>
      </c>
    </row>
    <row r="174" spans="11:12" x14ac:dyDescent="0.25">
      <c r="K174" s="2" t="s">
        <v>1436</v>
      </c>
      <c r="L174" s="2" t="s">
        <v>1121</v>
      </c>
    </row>
    <row r="175" spans="11:12" x14ac:dyDescent="0.25">
      <c r="K175" s="2" t="s">
        <v>1437</v>
      </c>
      <c r="L175" s="2" t="s">
        <v>1122</v>
      </c>
    </row>
    <row r="176" spans="11:12" x14ac:dyDescent="0.25">
      <c r="K176" s="2" t="s">
        <v>1438</v>
      </c>
      <c r="L176" s="2" t="s">
        <v>1123</v>
      </c>
    </row>
    <row r="177" spans="11:12" x14ac:dyDescent="0.25">
      <c r="K177" s="2" t="s">
        <v>1439</v>
      </c>
      <c r="L177" s="2" t="s">
        <v>1124</v>
      </c>
    </row>
    <row r="178" spans="11:12" x14ac:dyDescent="0.25">
      <c r="K178" s="2" t="s">
        <v>1440</v>
      </c>
      <c r="L178" s="2" t="s">
        <v>1125</v>
      </c>
    </row>
    <row r="179" spans="11:12" x14ac:dyDescent="0.25">
      <c r="K179" s="2" t="s">
        <v>1441</v>
      </c>
      <c r="L179" s="2" t="s">
        <v>1126</v>
      </c>
    </row>
    <row r="180" spans="11:12" x14ac:dyDescent="0.25">
      <c r="K180" s="2" t="s">
        <v>1442</v>
      </c>
      <c r="L180" s="2" t="s">
        <v>1127</v>
      </c>
    </row>
    <row r="181" spans="11:12" x14ac:dyDescent="0.25">
      <c r="K181" s="2" t="s">
        <v>1443</v>
      </c>
      <c r="L181" s="2" t="s">
        <v>1128</v>
      </c>
    </row>
    <row r="182" spans="11:12" x14ac:dyDescent="0.25">
      <c r="K182" s="2" t="s">
        <v>1444</v>
      </c>
      <c r="L182" s="2" t="s">
        <v>1129</v>
      </c>
    </row>
    <row r="183" spans="11:12" x14ac:dyDescent="0.25">
      <c r="K183" s="2" t="s">
        <v>1445</v>
      </c>
      <c r="L183" s="2" t="s">
        <v>1130</v>
      </c>
    </row>
    <row r="184" spans="11:12" x14ac:dyDescent="0.25">
      <c r="K184" s="2" t="s">
        <v>1446</v>
      </c>
      <c r="L184" s="2" t="s">
        <v>1131</v>
      </c>
    </row>
    <row r="185" spans="11:12" x14ac:dyDescent="0.25">
      <c r="K185" s="2" t="s">
        <v>1447</v>
      </c>
      <c r="L185" s="2" t="s">
        <v>1132</v>
      </c>
    </row>
    <row r="186" spans="11:12" x14ac:dyDescent="0.25">
      <c r="K186" s="2" t="s">
        <v>1448</v>
      </c>
      <c r="L186" s="2" t="s">
        <v>1133</v>
      </c>
    </row>
    <row r="187" spans="11:12" x14ac:dyDescent="0.25">
      <c r="K187" s="2" t="s">
        <v>1449</v>
      </c>
      <c r="L187" s="2" t="s">
        <v>1134</v>
      </c>
    </row>
    <row r="188" spans="11:12" x14ac:dyDescent="0.25">
      <c r="K188" s="2" t="s">
        <v>1450</v>
      </c>
      <c r="L188" s="2" t="s">
        <v>1135</v>
      </c>
    </row>
    <row r="189" spans="11:12" x14ac:dyDescent="0.25">
      <c r="K189" s="2" t="s">
        <v>1451</v>
      </c>
      <c r="L189" s="2" t="s">
        <v>1136</v>
      </c>
    </row>
    <row r="190" spans="11:12" x14ac:dyDescent="0.25">
      <c r="K190" s="2" t="s">
        <v>1452</v>
      </c>
      <c r="L190" s="2" t="s">
        <v>1137</v>
      </c>
    </row>
    <row r="191" spans="11:12" x14ac:dyDescent="0.25">
      <c r="K191" s="2" t="s">
        <v>1453</v>
      </c>
      <c r="L191" s="2" t="s">
        <v>1138</v>
      </c>
    </row>
    <row r="192" spans="11:12" x14ac:dyDescent="0.25">
      <c r="K192" s="2" t="s">
        <v>1454</v>
      </c>
      <c r="L192" s="2" t="s">
        <v>1139</v>
      </c>
    </row>
    <row r="193" spans="11:12" x14ac:dyDescent="0.25">
      <c r="K193" s="2" t="s">
        <v>1455</v>
      </c>
      <c r="L193" s="2" t="s">
        <v>1140</v>
      </c>
    </row>
    <row r="194" spans="11:12" x14ac:dyDescent="0.25">
      <c r="K194" s="2" t="s">
        <v>1456</v>
      </c>
      <c r="L194" s="2" t="s">
        <v>1141</v>
      </c>
    </row>
    <row r="195" spans="11:12" x14ac:dyDescent="0.25">
      <c r="K195" s="2" t="s">
        <v>1457</v>
      </c>
      <c r="L195" s="2" t="s">
        <v>1142</v>
      </c>
    </row>
    <row r="196" spans="11:12" x14ac:dyDescent="0.25">
      <c r="K196" s="2" t="s">
        <v>1458</v>
      </c>
      <c r="L196" s="2" t="s">
        <v>1143</v>
      </c>
    </row>
    <row r="197" spans="11:12" x14ac:dyDescent="0.25">
      <c r="K197" s="2" t="s">
        <v>1459</v>
      </c>
      <c r="L197" s="2" t="s">
        <v>1144</v>
      </c>
    </row>
    <row r="198" spans="11:12" x14ac:dyDescent="0.25">
      <c r="K198" s="2" t="s">
        <v>1460</v>
      </c>
      <c r="L198" s="2" t="s">
        <v>1145</v>
      </c>
    </row>
    <row r="199" spans="11:12" x14ac:dyDescent="0.25">
      <c r="K199" s="2" t="s">
        <v>1461</v>
      </c>
      <c r="L199" s="2" t="s">
        <v>1146</v>
      </c>
    </row>
    <row r="200" spans="11:12" x14ac:dyDescent="0.25">
      <c r="K200" s="2" t="s">
        <v>1462</v>
      </c>
      <c r="L200" s="2" t="s">
        <v>1147</v>
      </c>
    </row>
    <row r="201" spans="11:12" x14ac:dyDescent="0.25">
      <c r="K201" s="2" t="s">
        <v>1463</v>
      </c>
      <c r="L201" s="2" t="s">
        <v>1148</v>
      </c>
    </row>
    <row r="202" spans="11:12" x14ac:dyDescent="0.25">
      <c r="K202" s="2" t="s">
        <v>1464</v>
      </c>
      <c r="L202" s="2" t="s">
        <v>1149</v>
      </c>
    </row>
    <row r="203" spans="11:12" x14ac:dyDescent="0.25">
      <c r="K203" s="2" t="s">
        <v>1465</v>
      </c>
      <c r="L203" s="2" t="s">
        <v>1150</v>
      </c>
    </row>
    <row r="204" spans="11:12" x14ac:dyDescent="0.25">
      <c r="K204" s="2" t="s">
        <v>1466</v>
      </c>
      <c r="L204" s="2" t="s">
        <v>1151</v>
      </c>
    </row>
    <row r="205" spans="11:12" x14ac:dyDescent="0.25">
      <c r="K205" s="2" t="s">
        <v>1467</v>
      </c>
      <c r="L205" s="2" t="s">
        <v>1152</v>
      </c>
    </row>
    <row r="206" spans="11:12" x14ac:dyDescent="0.25">
      <c r="K206" s="2" t="s">
        <v>1468</v>
      </c>
      <c r="L206" s="2" t="s">
        <v>1153</v>
      </c>
    </row>
    <row r="207" spans="11:12" x14ac:dyDescent="0.25">
      <c r="K207" s="2" t="s">
        <v>1469</v>
      </c>
      <c r="L207" s="2" t="s">
        <v>1154</v>
      </c>
    </row>
    <row r="208" spans="11:12" x14ac:dyDescent="0.25">
      <c r="K208" s="2" t="s">
        <v>1470</v>
      </c>
      <c r="L208" s="2" t="s">
        <v>1155</v>
      </c>
    </row>
    <row r="209" spans="11:12" x14ac:dyDescent="0.25">
      <c r="K209" s="2" t="s">
        <v>1471</v>
      </c>
      <c r="L209" s="2" t="s">
        <v>1156</v>
      </c>
    </row>
    <row r="210" spans="11:12" x14ac:dyDescent="0.25">
      <c r="K210" s="2" t="s">
        <v>1472</v>
      </c>
      <c r="L210" s="2" t="s">
        <v>1157</v>
      </c>
    </row>
    <row r="211" spans="11:12" x14ac:dyDescent="0.25">
      <c r="K211" s="2" t="s">
        <v>1473</v>
      </c>
      <c r="L211" s="2" t="s">
        <v>1158</v>
      </c>
    </row>
    <row r="212" spans="11:12" x14ac:dyDescent="0.25">
      <c r="K212" s="2" t="s">
        <v>1474</v>
      </c>
      <c r="L212" s="2" t="s">
        <v>1159</v>
      </c>
    </row>
    <row r="213" spans="11:12" x14ac:dyDescent="0.25">
      <c r="K213" s="2" t="s">
        <v>1475</v>
      </c>
      <c r="L213" s="2" t="s">
        <v>1160</v>
      </c>
    </row>
    <row r="214" spans="11:12" x14ac:dyDescent="0.25">
      <c r="K214" s="2" t="s">
        <v>1476</v>
      </c>
      <c r="L214" s="2" t="s">
        <v>1161</v>
      </c>
    </row>
    <row r="215" spans="11:12" x14ac:dyDescent="0.25">
      <c r="K215" s="2" t="s">
        <v>1477</v>
      </c>
      <c r="L215" s="2" t="s">
        <v>1162</v>
      </c>
    </row>
    <row r="216" spans="11:12" x14ac:dyDescent="0.25">
      <c r="K216" s="2" t="s">
        <v>1478</v>
      </c>
      <c r="L216" s="2" t="s">
        <v>1163</v>
      </c>
    </row>
    <row r="217" spans="11:12" x14ac:dyDescent="0.25">
      <c r="K217" s="2" t="s">
        <v>1479</v>
      </c>
      <c r="L217" s="2" t="s">
        <v>1164</v>
      </c>
    </row>
    <row r="218" spans="11:12" x14ac:dyDescent="0.25">
      <c r="K218" s="2" t="s">
        <v>1480</v>
      </c>
      <c r="L218" s="2" t="s">
        <v>1165</v>
      </c>
    </row>
    <row r="219" spans="11:12" x14ac:dyDescent="0.25">
      <c r="K219" s="2" t="s">
        <v>1481</v>
      </c>
      <c r="L219" s="2" t="s">
        <v>1166</v>
      </c>
    </row>
    <row r="220" spans="11:12" x14ac:dyDescent="0.25">
      <c r="K220" s="2" t="s">
        <v>1482</v>
      </c>
      <c r="L220" s="2" t="s">
        <v>1167</v>
      </c>
    </row>
    <row r="221" spans="11:12" x14ac:dyDescent="0.25">
      <c r="K221" s="2" t="s">
        <v>1483</v>
      </c>
      <c r="L221" s="2" t="s">
        <v>1168</v>
      </c>
    </row>
    <row r="222" spans="11:12" x14ac:dyDescent="0.25">
      <c r="K222" s="2" t="s">
        <v>1484</v>
      </c>
      <c r="L222" s="2" t="s">
        <v>1169</v>
      </c>
    </row>
    <row r="223" spans="11:12" x14ac:dyDescent="0.25">
      <c r="K223" s="2" t="s">
        <v>1485</v>
      </c>
      <c r="L223" s="2" t="s">
        <v>1170</v>
      </c>
    </row>
    <row r="224" spans="11:12" x14ac:dyDescent="0.25">
      <c r="K224" s="2" t="s">
        <v>1486</v>
      </c>
      <c r="L224" s="2" t="s">
        <v>1171</v>
      </c>
    </row>
    <row r="225" spans="11:12" x14ac:dyDescent="0.25">
      <c r="K225" s="2" t="s">
        <v>1487</v>
      </c>
      <c r="L225" s="2" t="s">
        <v>1172</v>
      </c>
    </row>
    <row r="226" spans="11:12" x14ac:dyDescent="0.25">
      <c r="K226" s="2" t="s">
        <v>1488</v>
      </c>
      <c r="L226" s="2" t="s">
        <v>1173</v>
      </c>
    </row>
    <row r="227" spans="11:12" x14ac:dyDescent="0.25">
      <c r="K227" s="2" t="s">
        <v>1489</v>
      </c>
      <c r="L227" s="2" t="s">
        <v>1174</v>
      </c>
    </row>
    <row r="228" spans="11:12" x14ac:dyDescent="0.25">
      <c r="K228" s="2" t="s">
        <v>1490</v>
      </c>
      <c r="L228" s="2" t="s">
        <v>1175</v>
      </c>
    </row>
    <row r="229" spans="11:12" x14ac:dyDescent="0.25">
      <c r="K229" s="2" t="s">
        <v>1491</v>
      </c>
      <c r="L229" s="2" t="s">
        <v>1176</v>
      </c>
    </row>
    <row r="230" spans="11:12" x14ac:dyDescent="0.25">
      <c r="K230" s="2" t="s">
        <v>1492</v>
      </c>
      <c r="L230" s="2" t="s">
        <v>1177</v>
      </c>
    </row>
    <row r="231" spans="11:12" x14ac:dyDescent="0.25">
      <c r="K231" s="2" t="s">
        <v>1493</v>
      </c>
      <c r="L231" s="2" t="s">
        <v>1178</v>
      </c>
    </row>
    <row r="232" spans="11:12" x14ac:dyDescent="0.25">
      <c r="K232" s="2" t="s">
        <v>1494</v>
      </c>
      <c r="L232" s="2" t="s">
        <v>1179</v>
      </c>
    </row>
    <row r="233" spans="11:12" x14ac:dyDescent="0.25">
      <c r="K233" s="2" t="s">
        <v>1495</v>
      </c>
      <c r="L233" s="2" t="s">
        <v>1180</v>
      </c>
    </row>
    <row r="234" spans="11:12" x14ac:dyDescent="0.25">
      <c r="K234" s="2" t="s">
        <v>1496</v>
      </c>
      <c r="L234" s="2" t="s">
        <v>1181</v>
      </c>
    </row>
    <row r="235" spans="11:12" x14ac:dyDescent="0.25">
      <c r="K235" s="2" t="s">
        <v>1497</v>
      </c>
      <c r="L235" s="2" t="s">
        <v>1182</v>
      </c>
    </row>
    <row r="236" spans="11:12" x14ac:dyDescent="0.25">
      <c r="K236" s="2" t="s">
        <v>1498</v>
      </c>
      <c r="L236" s="2" t="s">
        <v>1183</v>
      </c>
    </row>
    <row r="237" spans="11:12" x14ac:dyDescent="0.25">
      <c r="K237" s="2" t="s">
        <v>1499</v>
      </c>
      <c r="L237" s="2" t="s">
        <v>1184</v>
      </c>
    </row>
    <row r="238" spans="11:12" x14ac:dyDescent="0.25">
      <c r="K238" s="2" t="s">
        <v>1500</v>
      </c>
      <c r="L238" s="2" t="s">
        <v>1185</v>
      </c>
    </row>
    <row r="239" spans="11:12" x14ac:dyDescent="0.25">
      <c r="K239" s="2" t="s">
        <v>1501</v>
      </c>
      <c r="L239" s="2" t="s">
        <v>1186</v>
      </c>
    </row>
    <row r="240" spans="11:12" x14ac:dyDescent="0.25">
      <c r="K240" s="2" t="s">
        <v>1502</v>
      </c>
      <c r="L240" s="2" t="s">
        <v>1187</v>
      </c>
    </row>
    <row r="241" spans="11:12" x14ac:dyDescent="0.25">
      <c r="K241" s="2" t="s">
        <v>1503</v>
      </c>
      <c r="L241" s="2" t="s">
        <v>1188</v>
      </c>
    </row>
    <row r="242" spans="11:12" x14ac:dyDescent="0.25">
      <c r="K242" s="2" t="s">
        <v>1504</v>
      </c>
      <c r="L242" s="2" t="s">
        <v>1189</v>
      </c>
    </row>
    <row r="243" spans="11:12" x14ac:dyDescent="0.25">
      <c r="K243" s="2" t="s">
        <v>1505</v>
      </c>
      <c r="L243" s="2" t="s">
        <v>1190</v>
      </c>
    </row>
    <row r="244" spans="11:12" x14ac:dyDescent="0.25">
      <c r="K244" s="2" t="s">
        <v>1506</v>
      </c>
      <c r="L244" s="2" t="s">
        <v>1191</v>
      </c>
    </row>
    <row r="245" spans="11:12" x14ac:dyDescent="0.25">
      <c r="K245" s="2" t="s">
        <v>1507</v>
      </c>
      <c r="L245" s="2" t="s">
        <v>1192</v>
      </c>
    </row>
    <row r="246" spans="11:12" x14ac:dyDescent="0.25">
      <c r="K246" s="2" t="s">
        <v>1508</v>
      </c>
      <c r="L246" s="2" t="s">
        <v>1193</v>
      </c>
    </row>
    <row r="247" spans="11:12" x14ac:dyDescent="0.25">
      <c r="K247" s="2" t="s">
        <v>1509</v>
      </c>
      <c r="L247" s="2" t="s">
        <v>1194</v>
      </c>
    </row>
    <row r="248" spans="11:12" x14ac:dyDescent="0.25">
      <c r="K248" s="2" t="s">
        <v>1510</v>
      </c>
      <c r="L248" s="2" t="s">
        <v>1195</v>
      </c>
    </row>
    <row r="249" spans="11:12" x14ac:dyDescent="0.25">
      <c r="K249" s="2" t="s">
        <v>1511</v>
      </c>
      <c r="L249" s="2" t="s">
        <v>1196</v>
      </c>
    </row>
    <row r="250" spans="11:12" x14ac:dyDescent="0.25">
      <c r="K250" s="2" t="s">
        <v>1512</v>
      </c>
      <c r="L250" s="2" t="s">
        <v>1197</v>
      </c>
    </row>
    <row r="251" spans="11:12" x14ac:dyDescent="0.25">
      <c r="K251" s="2" t="s">
        <v>1513</v>
      </c>
      <c r="L251" s="2" t="s">
        <v>1198</v>
      </c>
    </row>
    <row r="252" spans="11:12" x14ac:dyDescent="0.25">
      <c r="K252" s="2" t="s">
        <v>1514</v>
      </c>
      <c r="L252" s="2" t="s">
        <v>1199</v>
      </c>
    </row>
    <row r="253" spans="11:12" x14ac:dyDescent="0.25">
      <c r="K253" s="2" t="s">
        <v>1515</v>
      </c>
      <c r="L253" s="2" t="s">
        <v>1200</v>
      </c>
    </row>
    <row r="254" spans="11:12" x14ac:dyDescent="0.25">
      <c r="K254" s="2" t="s">
        <v>1516</v>
      </c>
      <c r="L254" s="2" t="s">
        <v>1201</v>
      </c>
    </row>
    <row r="255" spans="11:12" x14ac:dyDescent="0.25">
      <c r="K255" s="2" t="s">
        <v>1517</v>
      </c>
      <c r="L255" s="2" t="s">
        <v>1202</v>
      </c>
    </row>
    <row r="256" spans="11:12" x14ac:dyDescent="0.25">
      <c r="K256" s="2" t="s">
        <v>1518</v>
      </c>
      <c r="L256" s="2" t="s">
        <v>1203</v>
      </c>
    </row>
    <row r="257" spans="11:12" x14ac:dyDescent="0.25">
      <c r="K257" s="2" t="s">
        <v>1519</v>
      </c>
      <c r="L257" s="2" t="s">
        <v>1204</v>
      </c>
    </row>
    <row r="258" spans="11:12" x14ac:dyDescent="0.25">
      <c r="K258" s="2" t="s">
        <v>1520</v>
      </c>
      <c r="L258" s="2" t="s">
        <v>1205</v>
      </c>
    </row>
    <row r="259" spans="11:12" x14ac:dyDescent="0.25">
      <c r="K259" s="2" t="s">
        <v>1521</v>
      </c>
      <c r="L259" s="2" t="s">
        <v>1206</v>
      </c>
    </row>
    <row r="260" spans="11:12" x14ac:dyDescent="0.25">
      <c r="K260" s="2" t="s">
        <v>1522</v>
      </c>
      <c r="L260" s="2" t="s">
        <v>1207</v>
      </c>
    </row>
    <row r="261" spans="11:12" x14ac:dyDescent="0.25">
      <c r="K261" s="2" t="s">
        <v>1523</v>
      </c>
      <c r="L261" s="2" t="s">
        <v>1208</v>
      </c>
    </row>
    <row r="262" spans="11:12" x14ac:dyDescent="0.25">
      <c r="K262" s="2" t="s">
        <v>1524</v>
      </c>
      <c r="L262" s="2" t="s">
        <v>1209</v>
      </c>
    </row>
    <row r="263" spans="11:12" x14ac:dyDescent="0.25">
      <c r="K263" s="2" t="s">
        <v>1525</v>
      </c>
      <c r="L263" s="2" t="s">
        <v>1210</v>
      </c>
    </row>
    <row r="264" spans="11:12" x14ac:dyDescent="0.25">
      <c r="K264" s="2" t="s">
        <v>1526</v>
      </c>
      <c r="L264" s="2" t="s">
        <v>1211</v>
      </c>
    </row>
    <row r="265" spans="11:12" x14ac:dyDescent="0.25">
      <c r="K265" s="2" t="s">
        <v>1527</v>
      </c>
      <c r="L265" s="2" t="s">
        <v>1212</v>
      </c>
    </row>
    <row r="266" spans="11:12" x14ac:dyDescent="0.25">
      <c r="K266" s="2" t="s">
        <v>1528</v>
      </c>
      <c r="L266" s="2" t="s">
        <v>1213</v>
      </c>
    </row>
    <row r="267" spans="11:12" x14ac:dyDescent="0.25">
      <c r="K267" s="2" t="s">
        <v>1529</v>
      </c>
      <c r="L267" s="2" t="s">
        <v>1214</v>
      </c>
    </row>
    <row r="268" spans="11:12" x14ac:dyDescent="0.25">
      <c r="K268" s="2" t="s">
        <v>1530</v>
      </c>
      <c r="L268" s="2" t="s">
        <v>1215</v>
      </c>
    </row>
    <row r="269" spans="11:12" x14ac:dyDescent="0.25">
      <c r="K269" s="2" t="s">
        <v>1531</v>
      </c>
      <c r="L269" s="2" t="s">
        <v>1216</v>
      </c>
    </row>
    <row r="270" spans="11:12" x14ac:dyDescent="0.25">
      <c r="K270" s="2" t="s">
        <v>1532</v>
      </c>
      <c r="L270" s="2" t="s">
        <v>1217</v>
      </c>
    </row>
    <row r="271" spans="11:12" x14ac:dyDescent="0.25">
      <c r="K271" s="2" t="s">
        <v>1533</v>
      </c>
      <c r="L271" s="2" t="s">
        <v>1218</v>
      </c>
    </row>
    <row r="272" spans="11:12" x14ac:dyDescent="0.25">
      <c r="K272" s="2" t="s">
        <v>1534</v>
      </c>
      <c r="L272" s="2" t="s">
        <v>1219</v>
      </c>
    </row>
    <row r="273" spans="11:12" x14ac:dyDescent="0.25">
      <c r="K273" s="2" t="s">
        <v>1535</v>
      </c>
      <c r="L273" s="2" t="s">
        <v>1220</v>
      </c>
    </row>
    <row r="274" spans="11:12" x14ac:dyDescent="0.25">
      <c r="K274" s="2" t="s">
        <v>1536</v>
      </c>
      <c r="L274" s="2" t="s">
        <v>1221</v>
      </c>
    </row>
    <row r="275" spans="11:12" x14ac:dyDescent="0.25">
      <c r="K275" s="2" t="s">
        <v>1537</v>
      </c>
      <c r="L275" s="2" t="s">
        <v>1222</v>
      </c>
    </row>
    <row r="276" spans="11:12" x14ac:dyDescent="0.25">
      <c r="K276" s="2" t="s">
        <v>1538</v>
      </c>
      <c r="L276" s="2" t="s">
        <v>1223</v>
      </c>
    </row>
    <row r="277" spans="11:12" x14ac:dyDescent="0.25">
      <c r="K277" s="2" t="s">
        <v>1539</v>
      </c>
      <c r="L277" s="2" t="s">
        <v>1224</v>
      </c>
    </row>
    <row r="278" spans="11:12" x14ac:dyDescent="0.25">
      <c r="K278" s="2" t="s">
        <v>1540</v>
      </c>
      <c r="L278" s="2" t="s">
        <v>1225</v>
      </c>
    </row>
    <row r="279" spans="11:12" x14ac:dyDescent="0.25">
      <c r="K279" s="2" t="s">
        <v>1541</v>
      </c>
      <c r="L279" s="2" t="s">
        <v>1226</v>
      </c>
    </row>
    <row r="280" spans="11:12" x14ac:dyDescent="0.25">
      <c r="K280" s="2" t="s">
        <v>1542</v>
      </c>
      <c r="L280" s="2" t="s">
        <v>1227</v>
      </c>
    </row>
    <row r="281" spans="11:12" x14ac:dyDescent="0.25">
      <c r="K281" s="2" t="s">
        <v>1543</v>
      </c>
      <c r="L281" s="2" t="s">
        <v>1228</v>
      </c>
    </row>
    <row r="282" spans="11:12" x14ac:dyDescent="0.25">
      <c r="K282" s="2" t="s">
        <v>1544</v>
      </c>
      <c r="L282" s="2" t="s">
        <v>1229</v>
      </c>
    </row>
    <row r="283" spans="11:12" x14ac:dyDescent="0.25">
      <c r="K283" s="2" t="s">
        <v>1545</v>
      </c>
      <c r="L283" s="2" t="s">
        <v>1230</v>
      </c>
    </row>
    <row r="284" spans="11:12" x14ac:dyDescent="0.25">
      <c r="K284" s="2" t="s">
        <v>1546</v>
      </c>
      <c r="L284" s="2" t="s">
        <v>1231</v>
      </c>
    </row>
    <row r="285" spans="11:12" x14ac:dyDescent="0.25">
      <c r="K285" s="2" t="s">
        <v>1547</v>
      </c>
      <c r="L285" s="2" t="s">
        <v>1232</v>
      </c>
    </row>
    <row r="286" spans="11:12" x14ac:dyDescent="0.25">
      <c r="K286" s="2" t="s">
        <v>1548</v>
      </c>
      <c r="L286" s="2" t="s">
        <v>1233</v>
      </c>
    </row>
    <row r="287" spans="11:12" x14ac:dyDescent="0.25">
      <c r="K287" s="2" t="s">
        <v>1549</v>
      </c>
      <c r="L287" s="2" t="s">
        <v>1234</v>
      </c>
    </row>
    <row r="288" spans="11:12" x14ac:dyDescent="0.25">
      <c r="K288" s="2" t="s">
        <v>1550</v>
      </c>
      <c r="L288" s="2" t="s">
        <v>1235</v>
      </c>
    </row>
    <row r="289" spans="11:12" x14ac:dyDescent="0.25">
      <c r="K289" s="2" t="s">
        <v>1551</v>
      </c>
      <c r="L289" s="2" t="s">
        <v>1236</v>
      </c>
    </row>
    <row r="290" spans="11:12" x14ac:dyDescent="0.25">
      <c r="K290" s="2" t="s">
        <v>1552</v>
      </c>
      <c r="L290" s="2" t="s">
        <v>1237</v>
      </c>
    </row>
    <row r="291" spans="11:12" x14ac:dyDescent="0.25">
      <c r="K291" s="2" t="s">
        <v>1553</v>
      </c>
      <c r="L291" s="2" t="s">
        <v>1238</v>
      </c>
    </row>
    <row r="292" spans="11:12" x14ac:dyDescent="0.25">
      <c r="K292" s="2" t="s">
        <v>1554</v>
      </c>
      <c r="L292" s="2" t="s">
        <v>1239</v>
      </c>
    </row>
    <row r="293" spans="11:12" x14ac:dyDescent="0.25">
      <c r="K293" s="2" t="s">
        <v>1555</v>
      </c>
      <c r="L293" s="2" t="s">
        <v>1240</v>
      </c>
    </row>
    <row r="294" spans="11:12" x14ac:dyDescent="0.25">
      <c r="K294" s="2" t="s">
        <v>1556</v>
      </c>
      <c r="L294" s="2" t="s">
        <v>1241</v>
      </c>
    </row>
    <row r="295" spans="11:12" x14ac:dyDescent="0.25">
      <c r="K295" s="2" t="s">
        <v>1557</v>
      </c>
      <c r="L295" s="2" t="s">
        <v>1242</v>
      </c>
    </row>
    <row r="296" spans="11:12" x14ac:dyDescent="0.25">
      <c r="K296" s="2" t="s">
        <v>1558</v>
      </c>
      <c r="L296" s="2" t="s">
        <v>1243</v>
      </c>
    </row>
    <row r="297" spans="11:12" x14ac:dyDescent="0.25">
      <c r="K297" s="2" t="s">
        <v>1559</v>
      </c>
      <c r="L297" s="2" t="s">
        <v>1244</v>
      </c>
    </row>
    <row r="298" spans="11:12" x14ac:dyDescent="0.25">
      <c r="K298" s="2" t="s">
        <v>1560</v>
      </c>
      <c r="L298" s="2" t="s">
        <v>1245</v>
      </c>
    </row>
    <row r="299" spans="11:12" x14ac:dyDescent="0.25">
      <c r="K299" s="2" t="s">
        <v>1561</v>
      </c>
      <c r="L299" s="2" t="s">
        <v>1246</v>
      </c>
    </row>
    <row r="300" spans="11:12" x14ac:dyDescent="0.25">
      <c r="K300" s="2" t="s">
        <v>1562</v>
      </c>
      <c r="L300" s="2" t="s">
        <v>1247</v>
      </c>
    </row>
    <row r="301" spans="11:12" x14ac:dyDescent="0.25">
      <c r="K301" s="2" t="s">
        <v>1563</v>
      </c>
      <c r="L301" s="2" t="s">
        <v>1248</v>
      </c>
    </row>
    <row r="302" spans="11:12" x14ac:dyDescent="0.25">
      <c r="K302" s="2" t="s">
        <v>1564</v>
      </c>
      <c r="L302" s="2" t="s">
        <v>1249</v>
      </c>
    </row>
    <row r="303" spans="11:12" x14ac:dyDescent="0.25">
      <c r="K303" s="2" t="s">
        <v>1565</v>
      </c>
      <c r="L303" s="2" t="s">
        <v>1250</v>
      </c>
    </row>
    <row r="304" spans="11:12" x14ac:dyDescent="0.25">
      <c r="K304" s="2" t="s">
        <v>1566</v>
      </c>
      <c r="L304" s="2" t="s">
        <v>1251</v>
      </c>
    </row>
    <row r="305" spans="11:12" x14ac:dyDescent="0.25">
      <c r="K305" s="2" t="s">
        <v>1567</v>
      </c>
      <c r="L305" s="2" t="s">
        <v>1252</v>
      </c>
    </row>
    <row r="306" spans="11:12" x14ac:dyDescent="0.25">
      <c r="K306" s="2" t="s">
        <v>1568</v>
      </c>
      <c r="L306" s="2" t="s">
        <v>1253</v>
      </c>
    </row>
    <row r="307" spans="11:12" x14ac:dyDescent="0.25">
      <c r="K307" s="2" t="s">
        <v>1569</v>
      </c>
      <c r="L307" s="2" t="s">
        <v>1254</v>
      </c>
    </row>
    <row r="308" spans="11:12" x14ac:dyDescent="0.25">
      <c r="K308" s="2" t="s">
        <v>1570</v>
      </c>
      <c r="L308" s="2" t="s">
        <v>1255</v>
      </c>
    </row>
    <row r="309" spans="11:12" x14ac:dyDescent="0.25">
      <c r="K309" s="2" t="s">
        <v>1571</v>
      </c>
      <c r="L309" s="2" t="s">
        <v>1256</v>
      </c>
    </row>
    <row r="310" spans="11:12" x14ac:dyDescent="0.25">
      <c r="K310" s="2" t="s">
        <v>1572</v>
      </c>
      <c r="L310" s="2" t="s">
        <v>1257</v>
      </c>
    </row>
    <row r="311" spans="11:12" x14ac:dyDescent="0.25">
      <c r="K311" s="2" t="s">
        <v>1573</v>
      </c>
      <c r="L311" s="2" t="s">
        <v>1258</v>
      </c>
    </row>
    <row r="312" spans="11:12" x14ac:dyDescent="0.25">
      <c r="K312" s="2" t="s">
        <v>1574</v>
      </c>
      <c r="L312" s="2" t="s">
        <v>1259</v>
      </c>
    </row>
    <row r="313" spans="11:12" x14ac:dyDescent="0.25">
      <c r="K313" s="2" t="s">
        <v>1575</v>
      </c>
      <c r="L313" s="2" t="s">
        <v>1260</v>
      </c>
    </row>
    <row r="314" spans="11:12" x14ac:dyDescent="0.25">
      <c r="K314" s="2" t="s">
        <v>1576</v>
      </c>
      <c r="L314" s="2" t="s">
        <v>1261</v>
      </c>
    </row>
    <row r="315" spans="11:12" x14ac:dyDescent="0.25">
      <c r="K315" s="2" t="s">
        <v>1577</v>
      </c>
      <c r="L315" s="2" t="s">
        <v>1262</v>
      </c>
    </row>
    <row r="316" spans="11:12" x14ac:dyDescent="0.25">
      <c r="K316" s="2" t="s">
        <v>1578</v>
      </c>
      <c r="L316" s="2" t="s">
        <v>1263</v>
      </c>
    </row>
    <row r="317" spans="11:12" x14ac:dyDescent="0.25">
      <c r="K317" s="2" t="s">
        <v>1579</v>
      </c>
      <c r="L317" s="2" t="s">
        <v>1264</v>
      </c>
    </row>
    <row r="318" spans="11:12" x14ac:dyDescent="0.25">
      <c r="K318" s="144" t="s">
        <v>1687</v>
      </c>
      <c r="L318" s="2" t="s">
        <v>1688</v>
      </c>
    </row>
    <row r="319" spans="11:12" x14ac:dyDescent="0.25">
      <c r="K319" s="2"/>
      <c r="L319" s="2"/>
    </row>
    <row r="320" spans="11:12" x14ac:dyDescent="0.25">
      <c r="K320" s="2"/>
      <c r="L320" s="2"/>
    </row>
    <row r="321" spans="11:12" x14ac:dyDescent="0.25">
      <c r="K321" s="2"/>
      <c r="L321" s="2"/>
    </row>
    <row r="322" spans="11:12" x14ac:dyDescent="0.25">
      <c r="K322" s="2"/>
      <c r="L322" s="2"/>
    </row>
    <row r="323" spans="11:12" x14ac:dyDescent="0.25">
      <c r="K323" s="2"/>
      <c r="L323" s="2"/>
    </row>
    <row r="324" spans="11:12" x14ac:dyDescent="0.25">
      <c r="K324" s="2"/>
      <c r="L324" s="2"/>
    </row>
    <row r="325" spans="11:12" x14ac:dyDescent="0.25">
      <c r="K325" s="2"/>
      <c r="L325" s="2"/>
    </row>
    <row r="326" spans="11:12" x14ac:dyDescent="0.25">
      <c r="K326" s="2"/>
      <c r="L326" s="2"/>
    </row>
    <row r="327" spans="11:12" x14ac:dyDescent="0.25">
      <c r="K327" s="2"/>
      <c r="L327" s="2"/>
    </row>
    <row r="328" spans="11:12" x14ac:dyDescent="0.25">
      <c r="K328" s="2"/>
      <c r="L328" s="2"/>
    </row>
    <row r="329" spans="11:12" x14ac:dyDescent="0.25">
      <c r="K329" s="2"/>
      <c r="L329" s="2"/>
    </row>
    <row r="330" spans="11:12" x14ac:dyDescent="0.25">
      <c r="K330" s="2"/>
      <c r="L330" s="2"/>
    </row>
    <row r="331" spans="11:12" x14ac:dyDescent="0.25">
      <c r="K331" s="2"/>
      <c r="L331" s="2"/>
    </row>
    <row r="332" spans="11:12" x14ac:dyDescent="0.25">
      <c r="K332" s="2"/>
      <c r="L332" s="2"/>
    </row>
    <row r="333" spans="11:12" x14ac:dyDescent="0.25">
      <c r="K333" s="2"/>
      <c r="L333" s="2"/>
    </row>
    <row r="334" spans="11:12" x14ac:dyDescent="0.25">
      <c r="K334" s="2"/>
      <c r="L334" s="2"/>
    </row>
    <row r="335" spans="11:12" x14ac:dyDescent="0.25">
      <c r="K335" s="2"/>
      <c r="L335" s="2"/>
    </row>
    <row r="336" spans="11:12" x14ac:dyDescent="0.25">
      <c r="K336" s="2"/>
      <c r="L336" s="2"/>
    </row>
    <row r="337" spans="11:12" x14ac:dyDescent="0.25">
      <c r="K337" s="2"/>
      <c r="L337" s="2"/>
    </row>
    <row r="338" spans="11:12" x14ac:dyDescent="0.25">
      <c r="K338" s="2"/>
      <c r="L338" s="2"/>
    </row>
    <row r="339" spans="11:12" x14ac:dyDescent="0.25">
      <c r="K339" s="2"/>
      <c r="L339" s="2"/>
    </row>
    <row r="340" spans="11:12" x14ac:dyDescent="0.25">
      <c r="K340" s="2"/>
      <c r="L340" s="2"/>
    </row>
    <row r="341" spans="11:12" x14ac:dyDescent="0.25">
      <c r="K341" s="2"/>
      <c r="L341" s="2"/>
    </row>
    <row r="342" spans="11:12" x14ac:dyDescent="0.25">
      <c r="K342" s="2"/>
      <c r="L342" s="2"/>
    </row>
    <row r="343" spans="11:12" x14ac:dyDescent="0.25">
      <c r="K343" s="2"/>
      <c r="L343" s="2"/>
    </row>
    <row r="344" spans="11:12" x14ac:dyDescent="0.25">
      <c r="K344" s="2"/>
      <c r="L344" s="2"/>
    </row>
    <row r="345" spans="11:12" x14ac:dyDescent="0.25">
      <c r="K345" s="2"/>
      <c r="L345" s="2"/>
    </row>
    <row r="346" spans="11:12" x14ac:dyDescent="0.25">
      <c r="K346" s="2"/>
      <c r="L346" s="2"/>
    </row>
    <row r="347" spans="11:12" x14ac:dyDescent="0.25">
      <c r="K347" s="2"/>
      <c r="L347" s="2"/>
    </row>
    <row r="348" spans="11:12" x14ac:dyDescent="0.25">
      <c r="K348" s="2"/>
      <c r="L348" s="2"/>
    </row>
    <row r="349" spans="11:12" x14ac:dyDescent="0.25">
      <c r="K349" s="2"/>
      <c r="L349" s="2"/>
    </row>
    <row r="350" spans="11:12" x14ac:dyDescent="0.25">
      <c r="K350" s="2"/>
      <c r="L350" s="2"/>
    </row>
    <row r="351" spans="11:12" x14ac:dyDescent="0.25">
      <c r="K351" s="2"/>
      <c r="L351" s="2"/>
    </row>
    <row r="352" spans="11:12" x14ac:dyDescent="0.25">
      <c r="K352" s="2"/>
      <c r="L352" s="2"/>
    </row>
  </sheetData>
  <sheetProtection password="CAF3"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1"/>
  <sheetViews>
    <sheetView workbookViewId="0">
      <selection activeCell="A121" sqref="A121:XFD161"/>
    </sheetView>
  </sheetViews>
  <sheetFormatPr baseColWidth="10" defaultRowHeight="15" x14ac:dyDescent="0.25"/>
  <cols>
    <col min="1" max="1" width="94.85546875" bestFit="1" customWidth="1"/>
    <col min="2" max="5" width="21.140625" bestFit="1" customWidth="1"/>
    <col min="6" max="6" width="19.7109375" customWidth="1"/>
    <col min="7" max="7" width="22" bestFit="1" customWidth="1"/>
  </cols>
  <sheetData>
    <row r="1" spans="1:9" x14ac:dyDescent="0.25">
      <c r="B1" s="197"/>
      <c r="C1" s="197"/>
      <c r="D1" s="197"/>
      <c r="E1" s="197"/>
      <c r="F1" s="197"/>
      <c r="G1" s="197"/>
    </row>
    <row r="2" spans="1:9" x14ac:dyDescent="0.25">
      <c r="B2" s="197"/>
      <c r="C2" s="197"/>
      <c r="D2" s="197"/>
      <c r="E2" s="197"/>
      <c r="F2" s="197"/>
      <c r="G2" s="197"/>
    </row>
    <row r="3" spans="1:9" ht="18" x14ac:dyDescent="0.25">
      <c r="A3" s="198" t="s">
        <v>1050</v>
      </c>
      <c r="B3" s="198"/>
      <c r="C3" s="198"/>
      <c r="D3" s="198"/>
      <c r="E3" s="198"/>
      <c r="F3" s="198"/>
      <c r="G3" s="198"/>
      <c r="H3" s="198"/>
      <c r="I3" s="198"/>
    </row>
    <row r="4" spans="1:9" ht="18" x14ac:dyDescent="0.25">
      <c r="A4" s="198" t="s">
        <v>1689</v>
      </c>
      <c r="B4" s="198"/>
      <c r="C4" s="198"/>
      <c r="D4" s="198"/>
      <c r="E4" s="198"/>
      <c r="F4" s="198"/>
      <c r="G4" s="198"/>
      <c r="H4" s="198"/>
      <c r="I4" s="198"/>
    </row>
    <row r="5" spans="1:9" ht="18" x14ac:dyDescent="0.25">
      <c r="A5" s="198" t="s">
        <v>1690</v>
      </c>
      <c r="B5" s="198"/>
      <c r="C5" s="198"/>
      <c r="D5" s="198"/>
      <c r="E5" s="198"/>
      <c r="F5" s="198"/>
      <c r="G5" s="198"/>
      <c r="H5" s="198"/>
      <c r="I5" s="198"/>
    </row>
    <row r="6" spans="1:9" ht="15.75" thickBot="1" x14ac:dyDescent="0.3">
      <c r="A6" s="199"/>
      <c r="B6" s="200"/>
      <c r="C6" s="200"/>
      <c r="D6" s="200"/>
      <c r="E6" s="200"/>
      <c r="F6" s="200"/>
      <c r="G6" s="200"/>
      <c r="H6" s="199"/>
      <c r="I6" s="201" t="s">
        <v>1691</v>
      </c>
    </row>
    <row r="7" spans="1:9" ht="15.75" thickBot="1" x14ac:dyDescent="0.3">
      <c r="A7" s="202" t="s">
        <v>1692</v>
      </c>
      <c r="B7" s="203" t="s">
        <v>1693</v>
      </c>
      <c r="C7" s="203"/>
      <c r="D7" s="203"/>
      <c r="E7" s="203"/>
      <c r="F7" s="204" t="s">
        <v>1694</v>
      </c>
      <c r="G7" s="204"/>
      <c r="H7" s="205" t="s">
        <v>1695</v>
      </c>
      <c r="I7" s="205"/>
    </row>
    <row r="8" spans="1:9" ht="15.75" thickBot="1" x14ac:dyDescent="0.3">
      <c r="A8" s="202"/>
      <c r="B8" s="206" t="s">
        <v>1696</v>
      </c>
      <c r="C8" s="206" t="s">
        <v>1697</v>
      </c>
      <c r="D8" s="207" t="s">
        <v>1698</v>
      </c>
      <c r="E8" s="207"/>
      <c r="F8" s="206" t="s">
        <v>1699</v>
      </c>
      <c r="G8" s="208" t="s">
        <v>1700</v>
      </c>
      <c r="H8" s="209" t="s">
        <v>1701</v>
      </c>
      <c r="I8" s="210" t="s">
        <v>1702</v>
      </c>
    </row>
    <row r="9" spans="1:9" ht="23.25" thickBot="1" x14ac:dyDescent="0.3">
      <c r="A9" s="202"/>
      <c r="B9" s="206"/>
      <c r="C9" s="206"/>
      <c r="D9" s="211" t="s">
        <v>1703</v>
      </c>
      <c r="E9" s="211" t="s">
        <v>1704</v>
      </c>
      <c r="F9" s="206"/>
      <c r="G9" s="208"/>
      <c r="H9" s="212" t="s">
        <v>1705</v>
      </c>
      <c r="I9" s="213" t="s">
        <v>1705</v>
      </c>
    </row>
    <row r="10" spans="1:9" x14ac:dyDescent="0.25">
      <c r="A10" s="214"/>
      <c r="B10" s="215"/>
      <c r="C10" s="215"/>
      <c r="D10" s="216"/>
      <c r="E10" s="216"/>
      <c r="F10" s="215"/>
      <c r="G10" s="216"/>
      <c r="H10" s="217"/>
      <c r="I10" s="218"/>
    </row>
    <row r="11" spans="1:9" x14ac:dyDescent="0.25">
      <c r="A11" s="219" t="s">
        <v>1706</v>
      </c>
      <c r="B11" s="220"/>
      <c r="C11" s="220"/>
      <c r="D11" s="220"/>
      <c r="E11" s="220"/>
      <c r="F11" s="220"/>
      <c r="G11" s="220"/>
      <c r="H11" s="221"/>
      <c r="I11" s="221"/>
    </row>
    <row r="12" spans="1:9" x14ac:dyDescent="0.25">
      <c r="A12" s="222" t="s">
        <v>379</v>
      </c>
      <c r="B12" s="223">
        <v>0</v>
      </c>
      <c r="C12" s="223">
        <v>0</v>
      </c>
      <c r="D12" s="223">
        <v>0</v>
      </c>
      <c r="E12" s="223">
        <v>0</v>
      </c>
      <c r="F12" s="223">
        <v>0</v>
      </c>
      <c r="G12" s="223">
        <v>0</v>
      </c>
      <c r="H12" s="224" t="s">
        <v>1705</v>
      </c>
      <c r="I12" s="224" t="s">
        <v>1705</v>
      </c>
    </row>
    <row r="13" spans="1:9" x14ac:dyDescent="0.25">
      <c r="A13" s="222" t="s">
        <v>429</v>
      </c>
      <c r="B13" s="223">
        <v>0</v>
      </c>
      <c r="C13" s="223">
        <v>0</v>
      </c>
      <c r="D13" s="223">
        <v>0</v>
      </c>
      <c r="E13" s="223">
        <v>0</v>
      </c>
      <c r="F13" s="223">
        <v>0</v>
      </c>
      <c r="G13" s="223">
        <v>0</v>
      </c>
      <c r="H13" s="224" t="s">
        <v>1705</v>
      </c>
      <c r="I13" s="224" t="s">
        <v>1705</v>
      </c>
    </row>
    <row r="14" spans="1:9" x14ac:dyDescent="0.25">
      <c r="A14" s="222" t="s">
        <v>445</v>
      </c>
      <c r="B14" s="223">
        <v>0</v>
      </c>
      <c r="C14" s="223">
        <v>0</v>
      </c>
      <c r="D14" s="223">
        <v>0</v>
      </c>
      <c r="E14" s="223"/>
      <c r="F14" s="223">
        <v>0</v>
      </c>
      <c r="G14" s="223">
        <v>0</v>
      </c>
      <c r="H14" s="224" t="s">
        <v>1705</v>
      </c>
      <c r="I14" s="224" t="s">
        <v>1705</v>
      </c>
    </row>
    <row r="15" spans="1:9" x14ac:dyDescent="0.25">
      <c r="A15" s="222" t="s">
        <v>463</v>
      </c>
      <c r="B15" s="223">
        <v>0</v>
      </c>
      <c r="C15" s="223">
        <v>0</v>
      </c>
      <c r="D15" s="223">
        <v>0</v>
      </c>
      <c r="E15" s="223">
        <v>0</v>
      </c>
      <c r="F15" s="223">
        <v>0</v>
      </c>
      <c r="G15" s="223">
        <v>0</v>
      </c>
      <c r="H15" s="224" t="s">
        <v>1705</v>
      </c>
      <c r="I15" s="224" t="s">
        <v>1705</v>
      </c>
    </row>
    <row r="16" spans="1:9" x14ac:dyDescent="0.25">
      <c r="A16" s="222" t="s">
        <v>1707</v>
      </c>
      <c r="B16" s="225">
        <v>0</v>
      </c>
      <c r="C16" s="225">
        <v>0</v>
      </c>
      <c r="D16" s="225">
        <f>-G16</f>
        <v>-9.6999999999999993</v>
      </c>
      <c r="E16" s="225">
        <v>9.6999999999999993</v>
      </c>
      <c r="F16" s="225">
        <f>B16-C16</f>
        <v>0</v>
      </c>
      <c r="G16" s="225">
        <f>E16-C16</f>
        <v>9.6999999999999993</v>
      </c>
      <c r="H16" s="226" t="s">
        <v>1705</v>
      </c>
      <c r="I16" s="226" t="s">
        <v>1705</v>
      </c>
    </row>
    <row r="17" spans="1:9" x14ac:dyDescent="0.25">
      <c r="A17" s="222" t="s">
        <v>1708</v>
      </c>
      <c r="B17" s="227">
        <v>50000000</v>
      </c>
      <c r="C17" s="227">
        <v>50000000</v>
      </c>
      <c r="D17" s="227">
        <f t="shared" ref="D17:D19" si="0">-G17</f>
        <v>-60742016.909999996</v>
      </c>
      <c r="E17" s="227">
        <v>110742016.91</v>
      </c>
      <c r="F17" s="225">
        <f t="shared" ref="F17:F21" si="1">B17-C17</f>
        <v>0</v>
      </c>
      <c r="G17" s="225">
        <f t="shared" ref="G17:G21" si="2">E17-C17</f>
        <v>60742016.909999996</v>
      </c>
      <c r="H17" s="228">
        <f>(C17-B17)/C17*100</f>
        <v>0</v>
      </c>
      <c r="I17" s="228">
        <f>(E17/C17)*100</f>
        <v>221.48403382000001</v>
      </c>
    </row>
    <row r="18" spans="1:9" x14ac:dyDescent="0.25">
      <c r="A18" s="222" t="s">
        <v>1709</v>
      </c>
      <c r="B18" s="227">
        <v>0</v>
      </c>
      <c r="C18" s="227">
        <v>439834.8</v>
      </c>
      <c r="D18" s="227"/>
      <c r="E18" s="227">
        <v>439834.8</v>
      </c>
      <c r="F18" s="225">
        <f t="shared" si="1"/>
        <v>-439834.8</v>
      </c>
      <c r="G18" s="225">
        <f t="shared" si="2"/>
        <v>0</v>
      </c>
      <c r="H18" s="228"/>
      <c r="I18" s="228"/>
    </row>
    <row r="19" spans="1:9" x14ac:dyDescent="0.25">
      <c r="A19" s="222" t="s">
        <v>1710</v>
      </c>
      <c r="B19" s="227">
        <v>31464117.579999998</v>
      </c>
      <c r="C19" s="227">
        <v>493436010.26999998</v>
      </c>
      <c r="D19" s="227">
        <f t="shared" si="0"/>
        <v>0</v>
      </c>
      <c r="E19" s="227">
        <v>493436010.26999998</v>
      </c>
      <c r="F19" s="225">
        <f t="shared" si="1"/>
        <v>-461971892.69</v>
      </c>
      <c r="G19" s="225">
        <f t="shared" si="2"/>
        <v>0</v>
      </c>
      <c r="H19" s="228">
        <f>(C19-B19)/C19*100</f>
        <v>93.62346546965972</v>
      </c>
      <c r="I19" s="228">
        <f>(E19/C19)*100</f>
        <v>100</v>
      </c>
    </row>
    <row r="20" spans="1:9" x14ac:dyDescent="0.25">
      <c r="A20" s="222" t="s">
        <v>556</v>
      </c>
      <c r="B20" s="227">
        <v>2353085747.4200001</v>
      </c>
      <c r="C20" s="227">
        <v>2284432865.8499999</v>
      </c>
      <c r="D20" s="227">
        <f>-G20</f>
        <v>236872101.23000002</v>
      </c>
      <c r="E20" s="227">
        <v>2047560764.6199999</v>
      </c>
      <c r="F20" s="225">
        <f t="shared" si="1"/>
        <v>68652881.570000172</v>
      </c>
      <c r="G20" s="225">
        <f t="shared" si="2"/>
        <v>-236872101.23000002</v>
      </c>
      <c r="H20" s="228">
        <f>(C20-B20)/C20*100</f>
        <v>-3.0052483746094047</v>
      </c>
      <c r="I20" s="228">
        <f>(E20/C20)*100</f>
        <v>89.631032508286751</v>
      </c>
    </row>
    <row r="21" spans="1:9" x14ac:dyDescent="0.25">
      <c r="A21" s="229" t="s">
        <v>1711</v>
      </c>
      <c r="B21" s="230">
        <f t="shared" ref="B21:E21" si="3">SUM(B12:B20)</f>
        <v>2434549865</v>
      </c>
      <c r="C21" s="230">
        <f t="shared" si="3"/>
        <v>2828308710.9200001</v>
      </c>
      <c r="D21" s="230">
        <f t="shared" si="3"/>
        <v>176130074.62</v>
      </c>
      <c r="E21" s="230">
        <f t="shared" si="3"/>
        <v>2652178636.2999997</v>
      </c>
      <c r="F21" s="230">
        <f t="shared" si="1"/>
        <v>-393758845.92000008</v>
      </c>
      <c r="G21" s="230">
        <f t="shared" si="2"/>
        <v>-176130074.62000036</v>
      </c>
      <c r="H21" s="231">
        <f>(C21-B21)/C21*100</f>
        <v>13.922060360656921</v>
      </c>
      <c r="I21" s="231">
        <f>(E21/C21)*100</f>
        <v>93.772600779399767</v>
      </c>
    </row>
    <row r="22" spans="1:9" x14ac:dyDescent="0.25">
      <c r="A22" s="214"/>
      <c r="B22" s="232"/>
      <c r="C22" s="232"/>
      <c r="D22" s="232"/>
      <c r="E22" s="232"/>
      <c r="F22" s="215"/>
      <c r="G22" s="215"/>
      <c r="H22" s="217"/>
      <c r="I22" s="218"/>
    </row>
    <row r="23" spans="1:9" x14ac:dyDescent="0.25">
      <c r="A23" s="219" t="s">
        <v>645</v>
      </c>
      <c r="B23" s="233"/>
      <c r="C23" s="233"/>
      <c r="D23" s="233"/>
      <c r="E23" s="233"/>
      <c r="F23" s="220"/>
      <c r="G23" s="220"/>
      <c r="H23" s="221"/>
      <c r="I23" s="221"/>
    </row>
    <row r="24" spans="1:9" x14ac:dyDescent="0.25">
      <c r="A24" s="222" t="s">
        <v>647</v>
      </c>
      <c r="B24" s="227">
        <v>0</v>
      </c>
      <c r="C24" s="227">
        <v>0</v>
      </c>
      <c r="D24" s="227">
        <v>0</v>
      </c>
      <c r="E24" s="227">
        <v>0</v>
      </c>
      <c r="F24" s="225">
        <v>0</v>
      </c>
      <c r="G24" s="225">
        <v>0</v>
      </c>
      <c r="H24" s="226" t="s">
        <v>1705</v>
      </c>
      <c r="I24" s="226" t="s">
        <v>1705</v>
      </c>
    </row>
    <row r="25" spans="1:9" x14ac:dyDescent="0.25">
      <c r="A25" s="222" t="s">
        <v>1712</v>
      </c>
      <c r="B25" s="227">
        <v>1085790600</v>
      </c>
      <c r="C25" s="227">
        <v>1012038851.97</v>
      </c>
      <c r="D25" s="227">
        <f>-G25</f>
        <v>64328189.440000057</v>
      </c>
      <c r="E25" s="227">
        <v>947710662.52999997</v>
      </c>
      <c r="F25" s="225">
        <f t="shared" ref="F25:F30" si="4">B25-C25</f>
        <v>73751748.029999971</v>
      </c>
      <c r="G25" s="225">
        <f t="shared" ref="G25:G30" si="5">E25-C25</f>
        <v>-64328189.440000057</v>
      </c>
      <c r="H25" s="228">
        <f t="shared" ref="H25:H29" si="6">(C25-B25)/C25*100</f>
        <v>-7.2874423631501264</v>
      </c>
      <c r="I25" s="228">
        <f t="shared" ref="I25:I29" si="7">(E25/C25)*100</f>
        <v>93.643703567824403</v>
      </c>
    </row>
    <row r="26" spans="1:9" x14ac:dyDescent="0.25">
      <c r="A26" s="222" t="s">
        <v>1713</v>
      </c>
      <c r="B26" s="227">
        <v>126764180</v>
      </c>
      <c r="C26" s="227">
        <v>145019589.97</v>
      </c>
      <c r="D26" s="227">
        <f t="shared" ref="D26:D30" si="8">-G26</f>
        <v>4854090.0800000131</v>
      </c>
      <c r="E26" s="227">
        <v>140165499.88999999</v>
      </c>
      <c r="F26" s="225">
        <f t="shared" si="4"/>
        <v>-18255409.969999999</v>
      </c>
      <c r="G26" s="225">
        <f t="shared" si="5"/>
        <v>-4854090.0800000131</v>
      </c>
      <c r="H26" s="228">
        <f t="shared" si="6"/>
        <v>12.588237198696032</v>
      </c>
      <c r="I26" s="228">
        <f t="shared" si="7"/>
        <v>96.652803886010048</v>
      </c>
    </row>
    <row r="27" spans="1:9" x14ac:dyDescent="0.25">
      <c r="A27" s="222" t="s">
        <v>1714</v>
      </c>
      <c r="B27" s="227">
        <v>2150000</v>
      </c>
      <c r="C27" s="227">
        <v>5070000</v>
      </c>
      <c r="D27" s="227">
        <f t="shared" si="8"/>
        <v>166549.24000000022</v>
      </c>
      <c r="E27" s="227">
        <v>4903450.76</v>
      </c>
      <c r="F27" s="225">
        <f t="shared" si="4"/>
        <v>-2920000</v>
      </c>
      <c r="G27" s="225">
        <f t="shared" si="5"/>
        <v>-166549.24000000022</v>
      </c>
      <c r="H27" s="228">
        <f t="shared" si="6"/>
        <v>57.593688362919139</v>
      </c>
      <c r="I27" s="228">
        <f t="shared" si="7"/>
        <v>96.715005128205121</v>
      </c>
    </row>
    <row r="28" spans="1:9" x14ac:dyDescent="0.25">
      <c r="A28" s="222" t="s">
        <v>1715</v>
      </c>
      <c r="B28" s="227">
        <v>18158090</v>
      </c>
      <c r="C28" s="227">
        <v>64616960.469999999</v>
      </c>
      <c r="D28" s="227">
        <f t="shared" si="8"/>
        <v>6741459.5899999961</v>
      </c>
      <c r="E28" s="227">
        <v>57875500.880000003</v>
      </c>
      <c r="F28" s="225">
        <f t="shared" si="4"/>
        <v>-46458870.469999999</v>
      </c>
      <c r="G28" s="225">
        <f t="shared" si="5"/>
        <v>-6741459.5899999961</v>
      </c>
      <c r="H28" s="228">
        <f t="shared" si="6"/>
        <v>71.898879384104831</v>
      </c>
      <c r="I28" s="228">
        <f t="shared" si="7"/>
        <v>89.567043171072896</v>
      </c>
    </row>
    <row r="29" spans="1:9" x14ac:dyDescent="0.25">
      <c r="A29" s="222" t="s">
        <v>1716</v>
      </c>
      <c r="B29" s="227">
        <v>1201686995</v>
      </c>
      <c r="C29" s="227">
        <v>1601563308.51</v>
      </c>
      <c r="D29" s="227">
        <f t="shared" si="8"/>
        <v>1038384643.16</v>
      </c>
      <c r="E29" s="227">
        <v>563178665.35000002</v>
      </c>
      <c r="F29" s="225">
        <f t="shared" si="4"/>
        <v>-399876313.50999999</v>
      </c>
      <c r="G29" s="225">
        <f t="shared" si="5"/>
        <v>-1038384643.16</v>
      </c>
      <c r="H29" s="228">
        <f t="shared" si="6"/>
        <v>24.967874287905691</v>
      </c>
      <c r="I29" s="228">
        <f t="shared" si="7"/>
        <v>35.164308670004942</v>
      </c>
    </row>
    <row r="30" spans="1:9" x14ac:dyDescent="0.25">
      <c r="A30" s="222" t="s">
        <v>1717</v>
      </c>
      <c r="B30" s="225">
        <v>0</v>
      </c>
      <c r="C30" s="225">
        <v>0</v>
      </c>
      <c r="D30" s="225">
        <f t="shared" si="8"/>
        <v>0</v>
      </c>
      <c r="E30" s="225">
        <v>0</v>
      </c>
      <c r="F30" s="225">
        <f t="shared" si="4"/>
        <v>0</v>
      </c>
      <c r="G30" s="225">
        <f t="shared" si="5"/>
        <v>0</v>
      </c>
      <c r="H30" s="226" t="s">
        <v>1705</v>
      </c>
      <c r="I30" s="226" t="s">
        <v>1705</v>
      </c>
    </row>
    <row r="31" spans="1:9" x14ac:dyDescent="0.25">
      <c r="A31" s="222" t="s">
        <v>742</v>
      </c>
      <c r="B31" s="225">
        <v>0</v>
      </c>
      <c r="C31" s="225">
        <v>0</v>
      </c>
      <c r="D31" s="225">
        <v>0</v>
      </c>
      <c r="E31" s="225">
        <v>0</v>
      </c>
      <c r="F31" s="225">
        <v>0</v>
      </c>
      <c r="G31" s="225">
        <v>0</v>
      </c>
      <c r="H31" s="226" t="s">
        <v>1705</v>
      </c>
      <c r="I31" s="226" t="s">
        <v>1705</v>
      </c>
    </row>
    <row r="32" spans="1:9" x14ac:dyDescent="0.25">
      <c r="A32" s="222" t="s">
        <v>768</v>
      </c>
      <c r="B32" s="225">
        <v>0</v>
      </c>
      <c r="C32" s="225">
        <v>0</v>
      </c>
      <c r="D32" s="225">
        <v>0</v>
      </c>
      <c r="E32" s="225">
        <v>0</v>
      </c>
      <c r="F32" s="225">
        <v>0</v>
      </c>
      <c r="G32" s="225">
        <v>0</v>
      </c>
      <c r="H32" s="226" t="s">
        <v>1705</v>
      </c>
      <c r="I32" s="226" t="s">
        <v>1705</v>
      </c>
    </row>
    <row r="33" spans="1:9" x14ac:dyDescent="0.25">
      <c r="A33" s="222" t="s">
        <v>1718</v>
      </c>
      <c r="B33" s="225">
        <v>0</v>
      </c>
      <c r="C33" s="225">
        <v>0</v>
      </c>
      <c r="D33" s="225">
        <v>0</v>
      </c>
      <c r="E33" s="225">
        <v>0</v>
      </c>
      <c r="F33" s="225">
        <v>0</v>
      </c>
      <c r="G33" s="225">
        <v>0</v>
      </c>
      <c r="H33" s="226" t="s">
        <v>1705</v>
      </c>
      <c r="I33" s="226" t="s">
        <v>1705</v>
      </c>
    </row>
    <row r="34" spans="1:9" x14ac:dyDescent="0.25">
      <c r="A34" s="234" t="s">
        <v>1719</v>
      </c>
      <c r="B34" s="225">
        <v>0</v>
      </c>
      <c r="C34" s="225">
        <v>0</v>
      </c>
      <c r="D34" s="225">
        <v>0</v>
      </c>
      <c r="E34" s="225">
        <v>0</v>
      </c>
      <c r="F34" s="225">
        <v>0</v>
      </c>
      <c r="G34" s="225">
        <v>0</v>
      </c>
      <c r="H34" s="226" t="s">
        <v>1705</v>
      </c>
      <c r="I34" s="226" t="s">
        <v>1705</v>
      </c>
    </row>
    <row r="35" spans="1:9" x14ac:dyDescent="0.25">
      <c r="A35" s="234" t="s">
        <v>60</v>
      </c>
      <c r="B35" s="225">
        <v>0</v>
      </c>
      <c r="C35" s="225">
        <v>0</v>
      </c>
      <c r="D35" s="225">
        <v>0</v>
      </c>
      <c r="E35" s="225">
        <v>0</v>
      </c>
      <c r="F35" s="225">
        <v>0</v>
      </c>
      <c r="G35" s="225">
        <v>0</v>
      </c>
      <c r="H35" s="226" t="s">
        <v>1705</v>
      </c>
      <c r="I35" s="226" t="s">
        <v>1705</v>
      </c>
    </row>
    <row r="36" spans="1:9" x14ac:dyDescent="0.25">
      <c r="A36" s="234" t="s">
        <v>1720</v>
      </c>
      <c r="B36" s="225">
        <v>0</v>
      </c>
      <c r="C36" s="225">
        <v>0</v>
      </c>
      <c r="D36" s="225">
        <v>0</v>
      </c>
      <c r="E36" s="225">
        <v>0</v>
      </c>
      <c r="F36" s="225">
        <v>0</v>
      </c>
      <c r="G36" s="225">
        <v>0</v>
      </c>
      <c r="H36" s="226" t="s">
        <v>1705</v>
      </c>
      <c r="I36" s="226" t="s">
        <v>1705</v>
      </c>
    </row>
    <row r="37" spans="1:9" x14ac:dyDescent="0.25">
      <c r="A37" s="234" t="s">
        <v>1721</v>
      </c>
      <c r="B37" s="225">
        <v>0</v>
      </c>
      <c r="C37" s="225">
        <v>0</v>
      </c>
      <c r="D37" s="225">
        <v>0</v>
      </c>
      <c r="E37" s="225">
        <v>0</v>
      </c>
      <c r="F37" s="225">
        <v>0</v>
      </c>
      <c r="G37" s="225">
        <v>0</v>
      </c>
      <c r="H37" s="226" t="s">
        <v>1705</v>
      </c>
      <c r="I37" s="226" t="s">
        <v>1705</v>
      </c>
    </row>
    <row r="38" spans="1:9" x14ac:dyDescent="0.25">
      <c r="A38" s="234" t="s">
        <v>1722</v>
      </c>
      <c r="B38" s="225">
        <v>0</v>
      </c>
      <c r="C38" s="225">
        <v>0</v>
      </c>
      <c r="D38" s="225">
        <v>0</v>
      </c>
      <c r="E38" s="225">
        <v>0</v>
      </c>
      <c r="F38" s="225">
        <v>0</v>
      </c>
      <c r="G38" s="225">
        <v>0</v>
      </c>
      <c r="H38" s="226" t="s">
        <v>1705</v>
      </c>
      <c r="I38" s="226" t="s">
        <v>1705</v>
      </c>
    </row>
    <row r="39" spans="1:9" x14ac:dyDescent="0.25">
      <c r="A39" s="234" t="s">
        <v>1723</v>
      </c>
      <c r="B39" s="225">
        <v>0</v>
      </c>
      <c r="C39" s="225">
        <v>0</v>
      </c>
      <c r="D39" s="225">
        <v>0</v>
      </c>
      <c r="E39" s="225">
        <v>0</v>
      </c>
      <c r="F39" s="225">
        <v>0</v>
      </c>
      <c r="G39" s="225">
        <v>0</v>
      </c>
      <c r="H39" s="226" t="s">
        <v>1705</v>
      </c>
      <c r="I39" s="226" t="s">
        <v>1705</v>
      </c>
    </row>
    <row r="40" spans="1:9" x14ac:dyDescent="0.25">
      <c r="A40" s="222" t="s">
        <v>556</v>
      </c>
      <c r="B40" s="225">
        <v>0</v>
      </c>
      <c r="C40" s="225">
        <v>0</v>
      </c>
      <c r="D40" s="225">
        <v>0</v>
      </c>
      <c r="E40" s="225">
        <v>0</v>
      </c>
      <c r="F40" s="225">
        <v>0</v>
      </c>
      <c r="G40" s="225">
        <v>0</v>
      </c>
      <c r="H40" s="226" t="s">
        <v>1705</v>
      </c>
      <c r="I40" s="226" t="s">
        <v>1705</v>
      </c>
    </row>
    <row r="41" spans="1:9" x14ac:dyDescent="0.25">
      <c r="A41" s="222" t="s">
        <v>818</v>
      </c>
      <c r="B41" s="225">
        <v>0</v>
      </c>
      <c r="C41" s="225">
        <v>0</v>
      </c>
      <c r="D41" s="225">
        <v>0</v>
      </c>
      <c r="E41" s="225">
        <v>0</v>
      </c>
      <c r="F41" s="225">
        <v>0</v>
      </c>
      <c r="G41" s="225">
        <v>0</v>
      </c>
      <c r="H41" s="226" t="s">
        <v>1705</v>
      </c>
      <c r="I41" s="226" t="s">
        <v>1705</v>
      </c>
    </row>
    <row r="42" spans="1:9" x14ac:dyDescent="0.25">
      <c r="A42" s="235" t="s">
        <v>1724</v>
      </c>
      <c r="B42" s="236">
        <f>SUM(B24:B41)</f>
        <v>2434549865</v>
      </c>
      <c r="C42" s="236">
        <f t="shared" ref="C42:G42" si="9">SUM(C24:C41)</f>
        <v>2828308710.9200001</v>
      </c>
      <c r="D42" s="236">
        <f t="shared" si="9"/>
        <v>1114474931.51</v>
      </c>
      <c r="E42" s="236">
        <f t="shared" si="9"/>
        <v>1713833779.4100003</v>
      </c>
      <c r="F42" s="236">
        <f t="shared" si="9"/>
        <v>-393758845.92000002</v>
      </c>
      <c r="G42" s="236">
        <f t="shared" si="9"/>
        <v>-1114474931.51</v>
      </c>
      <c r="H42" s="231">
        <f t="shared" ref="H42" si="10">(C42-B42)/C42*100</f>
        <v>13.922060360656921</v>
      </c>
      <c r="I42" s="231">
        <f t="shared" ref="I42" si="11">(E42/C42)*100</f>
        <v>60.595711238767834</v>
      </c>
    </row>
    <row r="43" spans="1:9" x14ac:dyDescent="0.25">
      <c r="A43" s="237"/>
      <c r="B43" s="238"/>
      <c r="C43" s="238"/>
      <c r="D43" s="238"/>
      <c r="E43" s="238"/>
      <c r="F43" s="238"/>
      <c r="G43" s="238"/>
      <c r="H43" s="239"/>
      <c r="I43" s="240"/>
    </row>
    <row r="44" spans="1:9" ht="15.75" thickBot="1" x14ac:dyDescent="0.3">
      <c r="A44" s="241" t="s">
        <v>1725</v>
      </c>
      <c r="B44" s="242">
        <f>B21-B42</f>
        <v>0</v>
      </c>
      <c r="C44" s="242">
        <f t="shared" ref="C44:G44" si="12">C21-C42</f>
        <v>0</v>
      </c>
      <c r="D44" s="242">
        <f t="shared" si="12"/>
        <v>-938344856.88999999</v>
      </c>
      <c r="E44" s="242">
        <f t="shared" si="12"/>
        <v>938344856.88999939</v>
      </c>
      <c r="F44" s="242">
        <f t="shared" si="12"/>
        <v>0</v>
      </c>
      <c r="G44" s="242">
        <f t="shared" si="12"/>
        <v>938344856.88999963</v>
      </c>
      <c r="H44" s="243">
        <v>0</v>
      </c>
      <c r="I44" s="243">
        <v>0</v>
      </c>
    </row>
    <row r="45" spans="1:9" x14ac:dyDescent="0.25">
      <c r="A45" s="199"/>
      <c r="B45" s="200"/>
      <c r="C45" s="200"/>
      <c r="D45" s="200"/>
      <c r="E45" s="200"/>
      <c r="F45" s="200"/>
      <c r="G45" s="200"/>
      <c r="H45" s="199"/>
      <c r="I45" s="199"/>
    </row>
    <row r="46" spans="1:9" x14ac:dyDescent="0.25">
      <c r="A46" s="244" t="s">
        <v>1726</v>
      </c>
      <c r="B46" s="245"/>
      <c r="C46" s="245"/>
      <c r="D46" s="197"/>
      <c r="E46" s="197"/>
      <c r="F46" s="197"/>
      <c r="G46" s="197"/>
    </row>
    <row r="47" spans="1:9" x14ac:dyDescent="0.25">
      <c r="B47" s="197"/>
      <c r="C47" s="197"/>
      <c r="D47" s="197"/>
      <c r="E47" s="197"/>
      <c r="F47" s="197"/>
      <c r="G47" s="197"/>
    </row>
    <row r="48" spans="1:9" x14ac:dyDescent="0.25">
      <c r="A48" s="246" t="s">
        <v>1727</v>
      </c>
      <c r="B48" s="197"/>
      <c r="C48" s="197"/>
      <c r="D48" s="197"/>
      <c r="E48" s="197"/>
      <c r="F48" s="197"/>
      <c r="G48" s="197"/>
    </row>
    <row r="49" spans="1:7" x14ac:dyDescent="0.25">
      <c r="B49" s="197"/>
      <c r="C49" s="197"/>
      <c r="D49" s="197"/>
      <c r="E49" s="197"/>
      <c r="F49" s="197"/>
      <c r="G49" s="197"/>
    </row>
    <row r="50" spans="1:7" x14ac:dyDescent="0.25">
      <c r="B50" s="197"/>
      <c r="C50" s="197"/>
      <c r="D50" s="197"/>
      <c r="E50" s="197"/>
      <c r="F50" s="197"/>
      <c r="G50" s="197"/>
    </row>
    <row r="51" spans="1:7" x14ac:dyDescent="0.25">
      <c r="B51" s="197"/>
      <c r="C51" s="197"/>
      <c r="D51" s="197"/>
      <c r="E51" s="197"/>
      <c r="F51" s="197"/>
      <c r="G51" s="197"/>
    </row>
    <row r="52" spans="1:7" ht="16.5" x14ac:dyDescent="0.25">
      <c r="A52" s="247" t="s">
        <v>1590</v>
      </c>
      <c r="B52" s="247" t="s">
        <v>1728</v>
      </c>
      <c r="C52" s="247" t="s">
        <v>1729</v>
      </c>
      <c r="D52" s="247" t="s">
        <v>1730</v>
      </c>
      <c r="E52" s="248" t="s">
        <v>1731</v>
      </c>
      <c r="F52" s="197"/>
      <c r="G52" s="197"/>
    </row>
    <row r="53" spans="1:7" ht="84" x14ac:dyDescent="0.25">
      <c r="A53" s="249" t="s">
        <v>456</v>
      </c>
      <c r="B53" s="249">
        <v>0</v>
      </c>
      <c r="C53" s="249">
        <v>64330.080000000002</v>
      </c>
      <c r="D53" s="249">
        <f>C53-B53</f>
        <v>64330.080000000002</v>
      </c>
      <c r="E53" s="250" t="s">
        <v>1732</v>
      </c>
      <c r="F53" s="197"/>
      <c r="G53" s="197"/>
    </row>
    <row r="54" spans="1:7" x14ac:dyDescent="0.25">
      <c r="A54" s="249" t="s">
        <v>1708</v>
      </c>
      <c r="B54" s="249">
        <v>110742016.91</v>
      </c>
      <c r="C54" s="249">
        <v>80490992.140000001</v>
      </c>
      <c r="D54" s="249">
        <f>C54-B54</f>
        <v>-30251024.769999996</v>
      </c>
      <c r="E54" s="251"/>
      <c r="F54" s="197"/>
      <c r="G54" s="197"/>
    </row>
    <row r="55" spans="1:7" x14ac:dyDescent="0.25">
      <c r="A55" s="249" t="s">
        <v>1709</v>
      </c>
      <c r="B55" s="249">
        <v>439834.8</v>
      </c>
      <c r="C55" s="249"/>
      <c r="D55" s="249"/>
      <c r="E55" s="251"/>
      <c r="F55" s="197"/>
      <c r="G55" s="197"/>
    </row>
    <row r="56" spans="1:7" x14ac:dyDescent="0.25">
      <c r="A56" s="249" t="s">
        <v>1707</v>
      </c>
      <c r="B56" s="249">
        <v>9.6999999999999993</v>
      </c>
      <c r="C56" s="249">
        <v>9.6999999999999993</v>
      </c>
      <c r="D56" s="249">
        <f>C56-B56</f>
        <v>0</v>
      </c>
      <c r="E56" s="251"/>
      <c r="F56" s="197"/>
      <c r="G56" s="197"/>
    </row>
    <row r="57" spans="1:7" x14ac:dyDescent="0.25">
      <c r="A57" s="252" t="s">
        <v>556</v>
      </c>
      <c r="B57" s="249"/>
      <c r="C57" s="249"/>
      <c r="D57" s="249"/>
      <c r="E57" s="249"/>
      <c r="F57" s="197"/>
      <c r="G57" s="197"/>
    </row>
    <row r="58" spans="1:7" x14ac:dyDescent="0.25">
      <c r="A58" s="249" t="s">
        <v>1733</v>
      </c>
      <c r="B58" s="249">
        <v>1122934021.7</v>
      </c>
      <c r="C58" s="249">
        <v>1122934021.7</v>
      </c>
      <c r="D58" s="249">
        <f t="shared" ref="D58:D68" si="13">C58-B58</f>
        <v>0</v>
      </c>
      <c r="E58" s="249"/>
      <c r="F58" s="197"/>
      <c r="G58" s="197"/>
    </row>
    <row r="59" spans="1:7" x14ac:dyDescent="0.25">
      <c r="A59" s="249" t="s">
        <v>1734</v>
      </c>
      <c r="B59" s="249">
        <v>754789162.5</v>
      </c>
      <c r="C59" s="249">
        <f>813122496.5-58333334</f>
        <v>754789162.5</v>
      </c>
      <c r="D59" s="249">
        <f t="shared" si="13"/>
        <v>0</v>
      </c>
      <c r="E59" s="249"/>
      <c r="F59" s="197"/>
      <c r="G59" s="197"/>
    </row>
    <row r="60" spans="1:7" x14ac:dyDescent="0.25">
      <c r="A60" s="249" t="s">
        <v>1735</v>
      </c>
      <c r="B60" s="249">
        <v>104166626.64</v>
      </c>
      <c r="C60" s="249">
        <v>104166619.98</v>
      </c>
      <c r="D60" s="249">
        <f t="shared" si="13"/>
        <v>-6.6599999964237213</v>
      </c>
      <c r="E60" s="249"/>
      <c r="F60" s="197"/>
      <c r="G60" s="197"/>
    </row>
    <row r="61" spans="1:7" x14ac:dyDescent="0.25">
      <c r="A61" s="249" t="s">
        <v>1736</v>
      </c>
      <c r="B61" s="249">
        <v>58333334</v>
      </c>
      <c r="C61" s="249">
        <v>58333334</v>
      </c>
      <c r="D61" s="249">
        <f t="shared" si="13"/>
        <v>0</v>
      </c>
      <c r="E61" s="249"/>
      <c r="F61" s="197"/>
      <c r="G61" s="197"/>
    </row>
    <row r="62" spans="1:7" ht="120" x14ac:dyDescent="0.25">
      <c r="A62" s="249" t="s">
        <v>1737</v>
      </c>
      <c r="B62" s="249">
        <v>7337619.7800000003</v>
      </c>
      <c r="C62" s="249">
        <v>6020559.6600000001</v>
      </c>
      <c r="D62" s="249">
        <f t="shared" si="13"/>
        <v>-1317060.1200000001</v>
      </c>
      <c r="E62" s="250" t="s">
        <v>1738</v>
      </c>
      <c r="F62" s="197"/>
      <c r="G62" s="197"/>
    </row>
    <row r="63" spans="1:7" ht="24" x14ac:dyDescent="0.25">
      <c r="A63" s="253" t="s">
        <v>1739</v>
      </c>
      <c r="B63" s="249"/>
      <c r="C63" s="249">
        <v>2766931.9</v>
      </c>
      <c r="D63" s="249">
        <f t="shared" si="13"/>
        <v>2766931.9</v>
      </c>
      <c r="E63" s="250" t="s">
        <v>1740</v>
      </c>
      <c r="F63" s="197"/>
      <c r="G63" s="197"/>
    </row>
    <row r="64" spans="1:7" ht="24" x14ac:dyDescent="0.25">
      <c r="A64" s="253" t="s">
        <v>1741</v>
      </c>
      <c r="B64" s="249"/>
      <c r="C64" s="249">
        <v>82894087.980000004</v>
      </c>
      <c r="D64" s="249">
        <f t="shared" si="13"/>
        <v>82894087.980000004</v>
      </c>
      <c r="E64" s="250" t="s">
        <v>1740</v>
      </c>
      <c r="F64" s="197"/>
      <c r="G64" s="197"/>
    </row>
    <row r="65" spans="1:7" ht="24" x14ac:dyDescent="0.25">
      <c r="A65" s="253" t="s">
        <v>1742</v>
      </c>
      <c r="B65" s="249"/>
      <c r="C65" s="249">
        <v>6756957.0999999996</v>
      </c>
      <c r="D65" s="249">
        <f t="shared" si="13"/>
        <v>6756957.0999999996</v>
      </c>
      <c r="E65" s="250" t="s">
        <v>1740</v>
      </c>
      <c r="F65" s="197"/>
      <c r="G65" s="197"/>
    </row>
    <row r="66" spans="1:7" ht="24" x14ac:dyDescent="0.25">
      <c r="A66" s="249" t="s">
        <v>1743</v>
      </c>
      <c r="B66" s="249"/>
      <c r="C66" s="249">
        <v>159937.01999999999</v>
      </c>
      <c r="D66" s="249">
        <f t="shared" si="13"/>
        <v>159937.01999999999</v>
      </c>
      <c r="E66" s="250" t="s">
        <v>1740</v>
      </c>
      <c r="F66" s="197"/>
      <c r="G66" s="197"/>
    </row>
    <row r="67" spans="1:7" ht="24" x14ac:dyDescent="0.25">
      <c r="A67" s="249" t="s">
        <v>1744</v>
      </c>
      <c r="B67" s="249">
        <v>81354035.670000002</v>
      </c>
      <c r="C67" s="254"/>
      <c r="D67" s="249">
        <f t="shared" si="13"/>
        <v>-81354035.670000002</v>
      </c>
      <c r="E67" s="250" t="s">
        <v>1745</v>
      </c>
      <c r="F67" s="197"/>
      <c r="G67" s="197"/>
    </row>
    <row r="68" spans="1:7" ht="24" x14ac:dyDescent="0.25">
      <c r="A68" s="249" t="s">
        <v>1746</v>
      </c>
      <c r="B68" s="249">
        <v>412081974.60000002</v>
      </c>
      <c r="C68" s="254"/>
      <c r="D68" s="249">
        <f t="shared" si="13"/>
        <v>-412081974.60000002</v>
      </c>
      <c r="E68" s="250" t="s">
        <v>1745</v>
      </c>
      <c r="F68" s="197"/>
      <c r="G68" s="197"/>
    </row>
    <row r="69" spans="1:7" ht="16.5" x14ac:dyDescent="0.25">
      <c r="A69" s="255" t="s">
        <v>1747</v>
      </c>
      <c r="B69" s="256">
        <f>SUM(B53:B68)</f>
        <v>2652178636.3000002</v>
      </c>
      <c r="C69" s="256">
        <f>SUM(C53:C68)</f>
        <v>2219376943.7600002</v>
      </c>
      <c r="D69" s="256">
        <f>C69-B69</f>
        <v>-432801692.53999996</v>
      </c>
      <c r="E69" s="257"/>
      <c r="F69" s="197"/>
      <c r="G69" s="197"/>
    </row>
    <row r="70" spans="1:7" x14ac:dyDescent="0.25">
      <c r="B70" s="197"/>
      <c r="C70" s="197">
        <f>+C69-2219376943.76</f>
        <v>0</v>
      </c>
      <c r="D70" s="197"/>
      <c r="E70" s="197"/>
      <c r="F70" s="197"/>
      <c r="G70" s="197"/>
    </row>
    <row r="71" spans="1:7" x14ac:dyDescent="0.25">
      <c r="B71" s="197"/>
      <c r="C71" s="197"/>
      <c r="D71" s="197"/>
      <c r="E71" s="197"/>
      <c r="F71" s="197"/>
      <c r="G71" s="197"/>
    </row>
    <row r="72" spans="1:7" x14ac:dyDescent="0.25">
      <c r="B72" s="197"/>
      <c r="C72" s="197"/>
      <c r="D72" s="197"/>
      <c r="E72" s="197"/>
      <c r="F72" s="197"/>
      <c r="G72" s="197"/>
    </row>
    <row r="73" spans="1:7" ht="16.5" x14ac:dyDescent="0.25">
      <c r="A73" s="247" t="s">
        <v>1590</v>
      </c>
      <c r="B73" s="247" t="s">
        <v>1728</v>
      </c>
      <c r="C73" s="247" t="s">
        <v>1729</v>
      </c>
      <c r="D73" s="247" t="s">
        <v>1730</v>
      </c>
      <c r="E73" s="258" t="s">
        <v>1731</v>
      </c>
      <c r="F73" s="259"/>
      <c r="G73" s="197"/>
    </row>
    <row r="74" spans="1:7" x14ac:dyDescent="0.25">
      <c r="A74" s="260" t="s">
        <v>1748</v>
      </c>
      <c r="B74" s="249"/>
      <c r="C74" s="249"/>
      <c r="D74" s="249"/>
      <c r="E74" s="261"/>
      <c r="F74" s="261"/>
      <c r="G74" s="197"/>
    </row>
    <row r="75" spans="1:7" x14ac:dyDescent="0.25">
      <c r="A75" s="262" t="s">
        <v>1749</v>
      </c>
      <c r="B75" s="249">
        <v>336186056.36000001</v>
      </c>
      <c r="C75" s="263">
        <v>336296929.69999999</v>
      </c>
      <c r="D75" s="249">
        <f>C75-B75</f>
        <v>110873.33999997377</v>
      </c>
      <c r="E75" s="264" t="s">
        <v>1750</v>
      </c>
      <c r="F75" s="264"/>
      <c r="G75" s="197"/>
    </row>
    <row r="76" spans="1:7" x14ac:dyDescent="0.25">
      <c r="A76" s="262" t="s">
        <v>1751</v>
      </c>
      <c r="B76" s="249">
        <v>57000</v>
      </c>
      <c r="C76" s="263">
        <v>57000</v>
      </c>
      <c r="D76" s="249">
        <f t="shared" ref="D76:D139" si="14">C76-B76</f>
        <v>0</v>
      </c>
      <c r="E76" s="261"/>
      <c r="F76" s="261"/>
      <c r="G76" s="197"/>
    </row>
    <row r="77" spans="1:7" x14ac:dyDescent="0.25">
      <c r="A77" s="262" t="s">
        <v>1752</v>
      </c>
      <c r="B77" s="249">
        <v>2015975.22</v>
      </c>
      <c r="C77" s="263">
        <v>2015975.22</v>
      </c>
      <c r="D77" s="249">
        <f t="shared" si="14"/>
        <v>0</v>
      </c>
      <c r="E77" s="261"/>
      <c r="F77" s="261"/>
      <c r="G77" s="197"/>
    </row>
    <row r="78" spans="1:7" x14ac:dyDescent="0.25">
      <c r="A78" s="262" t="s">
        <v>1753</v>
      </c>
      <c r="B78" s="249">
        <v>6963806.75</v>
      </c>
      <c r="C78" s="263">
        <v>6963806.75</v>
      </c>
      <c r="D78" s="249">
        <f t="shared" si="14"/>
        <v>0</v>
      </c>
      <c r="E78" s="261"/>
      <c r="F78" s="261"/>
      <c r="G78" s="197"/>
    </row>
    <row r="79" spans="1:7" ht="35.25" customHeight="1" x14ac:dyDescent="0.25">
      <c r="A79" s="262" t="s">
        <v>1754</v>
      </c>
      <c r="B79" s="249">
        <v>118650729.02</v>
      </c>
      <c r="C79" s="263">
        <v>118693846.95</v>
      </c>
      <c r="D79" s="249">
        <f t="shared" si="14"/>
        <v>43117.930000007153</v>
      </c>
      <c r="E79" s="264" t="s">
        <v>1750</v>
      </c>
      <c r="F79" s="264"/>
      <c r="G79" s="197"/>
    </row>
    <row r="80" spans="1:7" ht="35.25" customHeight="1" x14ac:dyDescent="0.25">
      <c r="A80" s="262" t="s">
        <v>1755</v>
      </c>
      <c r="B80" s="249">
        <v>128314465.22</v>
      </c>
      <c r="C80" s="263">
        <v>128405751.37</v>
      </c>
      <c r="D80" s="249">
        <f t="shared" si="14"/>
        <v>91286.15000000596</v>
      </c>
      <c r="E80" s="265" t="s">
        <v>1756</v>
      </c>
      <c r="F80" s="265"/>
      <c r="G80" s="197"/>
    </row>
    <row r="81" spans="1:7" ht="35.25" customHeight="1" x14ac:dyDescent="0.25">
      <c r="A81" s="262" t="s">
        <v>1757</v>
      </c>
      <c r="B81" s="249">
        <v>55954889.939999998</v>
      </c>
      <c r="C81" s="263">
        <v>56171460.310000002</v>
      </c>
      <c r="D81" s="249">
        <f t="shared" si="14"/>
        <v>216570.37000000477</v>
      </c>
      <c r="E81" s="266" t="s">
        <v>1758</v>
      </c>
      <c r="F81" s="266"/>
      <c r="G81" s="197"/>
    </row>
    <row r="82" spans="1:7" ht="35.25" customHeight="1" x14ac:dyDescent="0.25">
      <c r="A82" s="262" t="s">
        <v>1759</v>
      </c>
      <c r="B82" s="249">
        <v>50160395.130000003</v>
      </c>
      <c r="C82" s="263">
        <v>52008358.270000003</v>
      </c>
      <c r="D82" s="249">
        <f t="shared" si="14"/>
        <v>1847963.1400000006</v>
      </c>
      <c r="E82" s="266" t="s">
        <v>1760</v>
      </c>
      <c r="F82" s="266"/>
      <c r="G82" s="197"/>
    </row>
    <row r="83" spans="1:7" ht="35.25" customHeight="1" x14ac:dyDescent="0.25">
      <c r="A83" s="262" t="s">
        <v>1761</v>
      </c>
      <c r="B83" s="249">
        <v>40976631.460000001</v>
      </c>
      <c r="C83" s="263">
        <f>1063387.92+39930669.88</f>
        <v>40994057.800000004</v>
      </c>
      <c r="D83" s="249">
        <f t="shared" si="14"/>
        <v>17426.340000003576</v>
      </c>
      <c r="E83" s="264" t="s">
        <v>1750</v>
      </c>
      <c r="F83" s="264"/>
      <c r="G83" s="197"/>
    </row>
    <row r="84" spans="1:7" ht="35.25" customHeight="1" x14ac:dyDescent="0.25">
      <c r="A84" s="250" t="s">
        <v>1762</v>
      </c>
      <c r="B84" s="249">
        <f>62126207.38+33559158.19</f>
        <v>95685365.569999993</v>
      </c>
      <c r="C84" s="254">
        <v>96717224.459999993</v>
      </c>
      <c r="D84" s="249">
        <f t="shared" si="14"/>
        <v>1031858.8900000006</v>
      </c>
      <c r="E84" s="266" t="s">
        <v>1763</v>
      </c>
      <c r="F84" s="266"/>
      <c r="G84" s="197"/>
    </row>
    <row r="85" spans="1:7" ht="35.25" customHeight="1" x14ac:dyDescent="0.25">
      <c r="A85" s="262" t="s">
        <v>1764</v>
      </c>
      <c r="B85" s="249">
        <v>10067747.99</v>
      </c>
      <c r="C85" s="263">
        <v>10123925.4</v>
      </c>
      <c r="D85" s="249">
        <f t="shared" si="14"/>
        <v>56177.410000000149</v>
      </c>
      <c r="E85" s="266" t="s">
        <v>1763</v>
      </c>
      <c r="F85" s="266"/>
      <c r="G85" s="197"/>
    </row>
    <row r="86" spans="1:7" ht="35.25" customHeight="1" x14ac:dyDescent="0.25">
      <c r="A86" s="262" t="s">
        <v>1765</v>
      </c>
      <c r="B86" s="249">
        <v>3355916.63</v>
      </c>
      <c r="C86" s="263">
        <v>3374642.38</v>
      </c>
      <c r="D86" s="249">
        <f t="shared" si="14"/>
        <v>18725.75</v>
      </c>
      <c r="E86" s="266" t="s">
        <v>1763</v>
      </c>
      <c r="F86" s="266"/>
      <c r="G86" s="197"/>
    </row>
    <row r="87" spans="1:7" ht="35.25" customHeight="1" x14ac:dyDescent="0.25">
      <c r="A87" s="250" t="s">
        <v>1766</v>
      </c>
      <c r="B87" s="249">
        <v>34066668.390000001</v>
      </c>
      <c r="C87" s="263">
        <v>33746418.079999998</v>
      </c>
      <c r="D87" s="249">
        <f t="shared" si="14"/>
        <v>-320250.31000000238</v>
      </c>
      <c r="E87" s="266" t="s">
        <v>1763</v>
      </c>
      <c r="F87" s="266"/>
      <c r="G87" s="197"/>
    </row>
    <row r="88" spans="1:7" ht="35.25" customHeight="1" x14ac:dyDescent="0.25">
      <c r="A88" s="262" t="s">
        <v>1767</v>
      </c>
      <c r="B88" s="249">
        <v>10055415.15</v>
      </c>
      <c r="C88" s="263">
        <v>10123925.09</v>
      </c>
      <c r="D88" s="249">
        <f t="shared" si="14"/>
        <v>68509.939999999478</v>
      </c>
      <c r="E88" s="266" t="s">
        <v>1763</v>
      </c>
      <c r="F88" s="266"/>
      <c r="G88" s="197"/>
    </row>
    <row r="89" spans="1:7" ht="35.25" customHeight="1" x14ac:dyDescent="0.25">
      <c r="A89" s="262" t="s">
        <v>1768</v>
      </c>
      <c r="B89" s="249">
        <v>20135495.350000001</v>
      </c>
      <c r="C89" s="263">
        <v>20247852.27</v>
      </c>
      <c r="D89" s="249">
        <f t="shared" si="14"/>
        <v>112356.91999999806</v>
      </c>
      <c r="E89" s="266" t="s">
        <v>1763</v>
      </c>
      <c r="F89" s="266"/>
      <c r="G89" s="197"/>
    </row>
    <row r="90" spans="1:7" ht="35.25" customHeight="1" x14ac:dyDescent="0.25">
      <c r="A90" s="250" t="s">
        <v>1769</v>
      </c>
      <c r="B90" s="249">
        <v>35064104.350000001</v>
      </c>
      <c r="C90" s="263">
        <v>35064104.350000001</v>
      </c>
      <c r="D90" s="249">
        <f t="shared" si="14"/>
        <v>0</v>
      </c>
      <c r="E90" s="266"/>
      <c r="F90" s="266"/>
      <c r="G90" s="197"/>
    </row>
    <row r="91" spans="1:7" ht="35.25" customHeight="1" x14ac:dyDescent="0.25">
      <c r="A91" s="260" t="s">
        <v>1770</v>
      </c>
      <c r="B91" s="249"/>
      <c r="C91" s="263"/>
      <c r="D91" s="249">
        <f t="shared" si="14"/>
        <v>0</v>
      </c>
      <c r="E91" s="266"/>
      <c r="F91" s="266"/>
      <c r="G91" s="197"/>
    </row>
    <row r="92" spans="1:7" ht="35.25" customHeight="1" x14ac:dyDescent="0.25">
      <c r="A92" s="262" t="s">
        <v>1771</v>
      </c>
      <c r="B92" s="249">
        <v>144519.26999999999</v>
      </c>
      <c r="C92" s="263">
        <v>144519.26999999999</v>
      </c>
      <c r="D92" s="249">
        <f t="shared" si="14"/>
        <v>0</v>
      </c>
      <c r="E92" s="266"/>
      <c r="F92" s="266"/>
      <c r="G92" s="197"/>
    </row>
    <row r="93" spans="1:7" ht="35.25" customHeight="1" x14ac:dyDescent="0.25">
      <c r="A93" s="262" t="s">
        <v>1772</v>
      </c>
      <c r="B93" s="249">
        <v>1520194</v>
      </c>
      <c r="C93" s="263">
        <v>1517436</v>
      </c>
      <c r="D93" s="249">
        <f t="shared" si="14"/>
        <v>-2758</v>
      </c>
      <c r="E93" s="266" t="s">
        <v>1773</v>
      </c>
      <c r="F93" s="266"/>
      <c r="G93" s="197"/>
    </row>
    <row r="94" spans="1:7" ht="35.25" customHeight="1" x14ac:dyDescent="0.25">
      <c r="A94" s="262" t="s">
        <v>1774</v>
      </c>
      <c r="B94" s="249">
        <v>5563200</v>
      </c>
      <c r="C94" s="263">
        <v>5563200</v>
      </c>
      <c r="D94" s="249">
        <f t="shared" si="14"/>
        <v>0</v>
      </c>
      <c r="E94" s="266"/>
      <c r="F94" s="266"/>
      <c r="G94" s="197"/>
    </row>
    <row r="95" spans="1:7" ht="35.25" customHeight="1" x14ac:dyDescent="0.25">
      <c r="A95" s="262" t="s">
        <v>1775</v>
      </c>
      <c r="B95" s="249">
        <v>16400</v>
      </c>
      <c r="C95" s="263">
        <v>16400</v>
      </c>
      <c r="D95" s="249">
        <f t="shared" si="14"/>
        <v>0</v>
      </c>
      <c r="E95" s="266"/>
      <c r="F95" s="266"/>
      <c r="G95" s="197"/>
    </row>
    <row r="96" spans="1:7" ht="35.25" customHeight="1" x14ac:dyDescent="0.25">
      <c r="A96" s="262" t="s">
        <v>1776</v>
      </c>
      <c r="B96" s="249">
        <v>8563373.5600000005</v>
      </c>
      <c r="C96" s="263">
        <v>8563373.5600000005</v>
      </c>
      <c r="D96" s="249">
        <f t="shared" si="14"/>
        <v>0</v>
      </c>
      <c r="E96" s="266"/>
      <c r="F96" s="266"/>
      <c r="G96" s="197"/>
    </row>
    <row r="97" spans="1:7" x14ac:dyDescent="0.25">
      <c r="A97" s="262" t="s">
        <v>1777</v>
      </c>
      <c r="B97" s="249">
        <v>909822.4</v>
      </c>
      <c r="C97" s="263">
        <v>909822.4</v>
      </c>
      <c r="D97" s="249">
        <f t="shared" si="14"/>
        <v>0</v>
      </c>
      <c r="E97" s="266"/>
      <c r="F97" s="266"/>
      <c r="G97" s="197"/>
    </row>
    <row r="98" spans="1:7" x14ac:dyDescent="0.25">
      <c r="A98" s="262" t="s">
        <v>1778</v>
      </c>
      <c r="B98" s="249">
        <v>0</v>
      </c>
      <c r="C98" s="263"/>
      <c r="D98" s="249">
        <f t="shared" si="14"/>
        <v>0</v>
      </c>
      <c r="E98" s="266"/>
      <c r="F98" s="266"/>
      <c r="G98" s="197"/>
    </row>
    <row r="99" spans="1:7" x14ac:dyDescent="0.25">
      <c r="A99" s="262" t="s">
        <v>1779</v>
      </c>
      <c r="B99" s="249"/>
      <c r="C99" s="263"/>
      <c r="D99" s="249">
        <f t="shared" si="14"/>
        <v>0</v>
      </c>
      <c r="E99" s="266"/>
      <c r="F99" s="266"/>
      <c r="G99" s="197"/>
    </row>
    <row r="100" spans="1:7" x14ac:dyDescent="0.25">
      <c r="A100" s="262" t="s">
        <v>1780</v>
      </c>
      <c r="B100" s="249">
        <v>97999.41</v>
      </c>
      <c r="C100" s="263">
        <v>97999.41</v>
      </c>
      <c r="D100" s="249">
        <f t="shared" si="14"/>
        <v>0</v>
      </c>
      <c r="E100" s="266"/>
      <c r="F100" s="266"/>
      <c r="G100" s="197"/>
    </row>
    <row r="101" spans="1:7" x14ac:dyDescent="0.25">
      <c r="A101" s="262" t="s">
        <v>1781</v>
      </c>
      <c r="B101" s="249">
        <v>2377324.0499999998</v>
      </c>
      <c r="C101" s="263">
        <v>2377324.0499999998</v>
      </c>
      <c r="D101" s="249">
        <f t="shared" si="14"/>
        <v>0</v>
      </c>
      <c r="E101" s="266"/>
      <c r="F101" s="266"/>
      <c r="G101" s="197"/>
    </row>
    <row r="102" spans="1:7" x14ac:dyDescent="0.25">
      <c r="A102" s="262" t="s">
        <v>1782</v>
      </c>
      <c r="B102" s="249">
        <v>46590.11</v>
      </c>
      <c r="C102" s="263">
        <v>46590.11</v>
      </c>
      <c r="D102" s="249">
        <f t="shared" si="14"/>
        <v>0</v>
      </c>
      <c r="E102" s="266"/>
      <c r="F102" s="266"/>
      <c r="G102" s="197"/>
    </row>
    <row r="103" spans="1:7" x14ac:dyDescent="0.25">
      <c r="A103" s="262" t="s">
        <v>1783</v>
      </c>
      <c r="B103" s="249">
        <v>992778.4</v>
      </c>
      <c r="C103" s="263">
        <v>992778.4</v>
      </c>
      <c r="D103" s="249">
        <f t="shared" si="14"/>
        <v>0</v>
      </c>
      <c r="E103" s="266"/>
      <c r="F103" s="266"/>
      <c r="G103" s="197"/>
    </row>
    <row r="104" spans="1:7" x14ac:dyDescent="0.25">
      <c r="A104" s="262" t="s">
        <v>1784</v>
      </c>
      <c r="B104" s="249">
        <v>8362000</v>
      </c>
      <c r="C104" s="263">
        <v>8362000</v>
      </c>
      <c r="D104" s="249">
        <f t="shared" si="14"/>
        <v>0</v>
      </c>
      <c r="E104" s="266"/>
      <c r="F104" s="266"/>
      <c r="G104" s="197"/>
    </row>
    <row r="105" spans="1:7" ht="48" customHeight="1" x14ac:dyDescent="0.25">
      <c r="A105" s="262" t="s">
        <v>1785</v>
      </c>
      <c r="B105" s="249">
        <v>73746049.969999999</v>
      </c>
      <c r="C105" s="263">
        <v>73671135.989999995</v>
      </c>
      <c r="D105" s="249">
        <f t="shared" si="14"/>
        <v>-74913.980000004172</v>
      </c>
      <c r="E105" s="266" t="s">
        <v>1786</v>
      </c>
      <c r="F105" s="266"/>
      <c r="G105" s="197"/>
    </row>
    <row r="106" spans="1:7" ht="48" customHeight="1" x14ac:dyDescent="0.25">
      <c r="A106" s="262" t="s">
        <v>1787</v>
      </c>
      <c r="B106" s="249">
        <v>1380582.7</v>
      </c>
      <c r="C106" s="263">
        <v>1401946.7</v>
      </c>
      <c r="D106" s="249">
        <f t="shared" si="14"/>
        <v>21364</v>
      </c>
      <c r="E106" s="264" t="s">
        <v>1788</v>
      </c>
      <c r="F106" s="264"/>
      <c r="G106" s="197"/>
    </row>
    <row r="107" spans="1:7" ht="48" customHeight="1" x14ac:dyDescent="0.25">
      <c r="A107" s="262" t="s">
        <v>1789</v>
      </c>
      <c r="B107" s="249">
        <v>16170</v>
      </c>
      <c r="C107" s="263">
        <v>16170</v>
      </c>
      <c r="D107" s="249">
        <f t="shared" si="14"/>
        <v>0</v>
      </c>
      <c r="E107" s="264"/>
      <c r="F107" s="264"/>
      <c r="G107" s="197"/>
    </row>
    <row r="108" spans="1:7" ht="48" customHeight="1" x14ac:dyDescent="0.25">
      <c r="A108" s="262" t="s">
        <v>1790</v>
      </c>
      <c r="B108" s="249">
        <v>395600</v>
      </c>
      <c r="C108" s="263">
        <v>395600</v>
      </c>
      <c r="D108" s="249">
        <f t="shared" si="14"/>
        <v>0</v>
      </c>
      <c r="E108" s="264"/>
      <c r="F108" s="264"/>
      <c r="G108" s="197"/>
    </row>
    <row r="109" spans="1:7" x14ac:dyDescent="0.25">
      <c r="A109" s="262" t="s">
        <v>1791</v>
      </c>
      <c r="B109" s="249">
        <v>314295</v>
      </c>
      <c r="C109" s="263">
        <v>314295</v>
      </c>
      <c r="D109" s="249">
        <f t="shared" si="14"/>
        <v>0</v>
      </c>
      <c r="E109" s="264"/>
      <c r="F109" s="264"/>
      <c r="G109" s="197"/>
    </row>
    <row r="110" spans="1:7" x14ac:dyDescent="0.25">
      <c r="A110" s="262" t="s">
        <v>1792</v>
      </c>
      <c r="B110" s="249">
        <v>604038.1</v>
      </c>
      <c r="C110" s="263">
        <v>604038.1</v>
      </c>
      <c r="D110" s="249">
        <f t="shared" si="14"/>
        <v>0</v>
      </c>
      <c r="E110" s="264"/>
      <c r="F110" s="264"/>
      <c r="G110" s="197"/>
    </row>
    <row r="111" spans="1:7" ht="106.5" customHeight="1" x14ac:dyDescent="0.25">
      <c r="A111" s="262" t="s">
        <v>1793</v>
      </c>
      <c r="B111" s="249">
        <v>6156054</v>
      </c>
      <c r="C111" s="263">
        <v>6080446.04</v>
      </c>
      <c r="D111" s="249">
        <f t="shared" si="14"/>
        <v>-75607.959999999963</v>
      </c>
      <c r="E111" s="266" t="s">
        <v>1794</v>
      </c>
      <c r="F111" s="266"/>
      <c r="G111" s="197"/>
    </row>
    <row r="112" spans="1:7" x14ac:dyDescent="0.25">
      <c r="A112" s="262" t="s">
        <v>1795</v>
      </c>
      <c r="B112" s="249">
        <v>446118.8</v>
      </c>
      <c r="C112" s="263">
        <v>446118.8</v>
      </c>
      <c r="D112" s="249">
        <f t="shared" si="14"/>
        <v>0</v>
      </c>
      <c r="E112" s="264"/>
      <c r="F112" s="264"/>
      <c r="G112" s="197"/>
    </row>
    <row r="113" spans="1:9" x14ac:dyDescent="0.25">
      <c r="A113" s="262" t="s">
        <v>1796</v>
      </c>
      <c r="B113" s="249">
        <v>13308079.99</v>
      </c>
      <c r="C113" s="263">
        <v>13308079.99</v>
      </c>
      <c r="D113" s="249">
        <f t="shared" si="14"/>
        <v>0</v>
      </c>
      <c r="E113" s="264"/>
      <c r="F113" s="264"/>
      <c r="G113" s="197"/>
    </row>
    <row r="114" spans="1:9" x14ac:dyDescent="0.25">
      <c r="A114" s="250" t="s">
        <v>1797</v>
      </c>
      <c r="B114" s="249">
        <v>1282350</v>
      </c>
      <c r="C114" s="263">
        <v>1282350</v>
      </c>
      <c r="D114" s="249">
        <f t="shared" si="14"/>
        <v>0</v>
      </c>
      <c r="E114" s="264"/>
      <c r="F114" s="264"/>
      <c r="G114" s="197"/>
    </row>
    <row r="115" spans="1:9" x14ac:dyDescent="0.25">
      <c r="A115" s="262" t="s">
        <v>1798</v>
      </c>
      <c r="B115" s="249">
        <v>2403862.56</v>
      </c>
      <c r="C115" s="263">
        <v>2403862.56</v>
      </c>
      <c r="D115" s="249">
        <f t="shared" si="14"/>
        <v>0</v>
      </c>
      <c r="E115" s="264"/>
      <c r="F115" s="264"/>
      <c r="G115" s="197"/>
    </row>
    <row r="116" spans="1:9" x14ac:dyDescent="0.25">
      <c r="A116" s="262" t="s">
        <v>1799</v>
      </c>
      <c r="B116" s="249">
        <v>1245850</v>
      </c>
      <c r="C116" s="263">
        <v>1245850</v>
      </c>
      <c r="D116" s="249">
        <f t="shared" si="14"/>
        <v>0</v>
      </c>
      <c r="E116" s="264"/>
      <c r="F116" s="264"/>
      <c r="G116" s="197"/>
    </row>
    <row r="117" spans="1:9" x14ac:dyDescent="0.25">
      <c r="A117" s="262" t="s">
        <v>1800</v>
      </c>
      <c r="B117" s="249">
        <v>60000</v>
      </c>
      <c r="C117" s="263">
        <v>60000</v>
      </c>
      <c r="D117" s="249">
        <f t="shared" si="14"/>
        <v>0</v>
      </c>
      <c r="E117" s="264"/>
      <c r="F117" s="264"/>
      <c r="G117" s="197"/>
    </row>
    <row r="118" spans="1:9" x14ac:dyDescent="0.25">
      <c r="A118" s="262" t="s">
        <v>1801</v>
      </c>
      <c r="B118" s="249">
        <v>9586267.5700000003</v>
      </c>
      <c r="C118" s="263">
        <v>9586267.5700000003</v>
      </c>
      <c r="D118" s="249">
        <f t="shared" si="14"/>
        <v>0</v>
      </c>
      <c r="E118" s="264"/>
      <c r="F118" s="264"/>
      <c r="G118" s="197"/>
    </row>
    <row r="119" spans="1:9" x14ac:dyDescent="0.25">
      <c r="A119" s="262" t="s">
        <v>1802</v>
      </c>
      <c r="B119" s="249">
        <v>625980</v>
      </c>
      <c r="C119" s="263">
        <v>625980</v>
      </c>
      <c r="D119" s="249">
        <f t="shared" si="14"/>
        <v>0</v>
      </c>
      <c r="E119" s="264"/>
      <c r="F119" s="264"/>
      <c r="G119" s="197"/>
    </row>
    <row r="120" spans="1:9" x14ac:dyDescent="0.25">
      <c r="A120" s="262" t="s">
        <v>1803</v>
      </c>
      <c r="B120" s="249"/>
      <c r="C120" s="263"/>
      <c r="D120" s="249">
        <f t="shared" si="14"/>
        <v>0</v>
      </c>
      <c r="E120" s="264"/>
      <c r="F120" s="264"/>
      <c r="G120" s="197"/>
    </row>
    <row r="121" spans="1:9" ht="22.5" customHeight="1" x14ac:dyDescent="0.25">
      <c r="A121" s="260" t="s">
        <v>1804</v>
      </c>
      <c r="B121" s="249"/>
      <c r="C121" s="263"/>
      <c r="D121" s="249">
        <f t="shared" si="14"/>
        <v>0</v>
      </c>
      <c r="E121" s="264"/>
      <c r="F121" s="264"/>
      <c r="G121" s="197"/>
    </row>
    <row r="122" spans="1:9" ht="22.5" customHeight="1" x14ac:dyDescent="0.25">
      <c r="A122" s="262" t="s">
        <v>1805</v>
      </c>
      <c r="B122" s="249">
        <v>610008</v>
      </c>
      <c r="C122" s="263">
        <v>610008</v>
      </c>
      <c r="D122" s="249">
        <f t="shared" si="14"/>
        <v>0</v>
      </c>
      <c r="E122" s="264"/>
      <c r="F122" s="264"/>
      <c r="G122" s="197"/>
    </row>
    <row r="123" spans="1:9" ht="22.5" customHeight="1" x14ac:dyDescent="0.25">
      <c r="A123" s="267" t="s">
        <v>1806</v>
      </c>
      <c r="B123" s="249">
        <v>443688.45</v>
      </c>
      <c r="C123" s="263">
        <v>127452.78</v>
      </c>
      <c r="D123" s="249">
        <f t="shared" si="14"/>
        <v>-316235.67000000004</v>
      </c>
      <c r="E123" s="266" t="s">
        <v>1807</v>
      </c>
      <c r="F123" s="266"/>
      <c r="G123" s="268"/>
      <c r="H123" s="269"/>
      <c r="I123" s="269"/>
    </row>
    <row r="124" spans="1:9" ht="22.5" customHeight="1" x14ac:dyDescent="0.25">
      <c r="A124" s="262" t="s">
        <v>1808</v>
      </c>
      <c r="B124" s="249">
        <v>1878501.08</v>
      </c>
      <c r="C124" s="263">
        <v>611441.88</v>
      </c>
      <c r="D124" s="249">
        <f t="shared" si="14"/>
        <v>-1267059.2000000002</v>
      </c>
      <c r="E124" s="264" t="s">
        <v>1809</v>
      </c>
      <c r="F124" s="264"/>
      <c r="G124" s="197"/>
    </row>
    <row r="125" spans="1:9" ht="22.5" customHeight="1" x14ac:dyDescent="0.25">
      <c r="A125" s="262" t="s">
        <v>1810</v>
      </c>
      <c r="B125" s="249"/>
      <c r="C125" s="263"/>
      <c r="D125" s="249">
        <f t="shared" si="14"/>
        <v>0</v>
      </c>
      <c r="E125" s="264"/>
      <c r="F125" s="264"/>
      <c r="G125" s="197"/>
    </row>
    <row r="126" spans="1:9" ht="22.5" customHeight="1" x14ac:dyDescent="0.25">
      <c r="A126" s="267" t="s">
        <v>1811</v>
      </c>
      <c r="B126" s="249">
        <v>99910.1</v>
      </c>
      <c r="C126" s="263">
        <v>73670.98</v>
      </c>
      <c r="D126" s="249">
        <f t="shared" si="14"/>
        <v>-26239.12000000001</v>
      </c>
      <c r="E126" s="266" t="s">
        <v>1812</v>
      </c>
      <c r="F126" s="266"/>
      <c r="G126" s="268"/>
      <c r="H126" s="269"/>
      <c r="I126" s="269"/>
    </row>
    <row r="127" spans="1:9" ht="22.5" customHeight="1" x14ac:dyDescent="0.25">
      <c r="A127" s="267" t="s">
        <v>1813</v>
      </c>
      <c r="B127" s="249">
        <v>1761168.13</v>
      </c>
      <c r="C127" s="263">
        <v>895753.5</v>
      </c>
      <c r="D127" s="249">
        <f t="shared" si="14"/>
        <v>-865414.62999999989</v>
      </c>
      <c r="E127" s="266" t="s">
        <v>1814</v>
      </c>
      <c r="F127" s="266"/>
      <c r="G127" s="268"/>
      <c r="H127" s="269"/>
      <c r="I127" s="269"/>
    </row>
    <row r="128" spans="1:9" ht="22.5" customHeight="1" x14ac:dyDescent="0.25">
      <c r="A128" s="267" t="s">
        <v>1815</v>
      </c>
      <c r="B128" s="249"/>
      <c r="C128" s="263">
        <v>27825.8</v>
      </c>
      <c r="D128" s="249">
        <f t="shared" si="14"/>
        <v>27825.8</v>
      </c>
      <c r="E128" s="266" t="s">
        <v>1816</v>
      </c>
      <c r="F128" s="266"/>
      <c r="G128" s="268"/>
      <c r="H128" s="269"/>
      <c r="I128" s="269"/>
    </row>
    <row r="129" spans="1:9" ht="22.5" customHeight="1" x14ac:dyDescent="0.25">
      <c r="A129" s="267" t="s">
        <v>1817</v>
      </c>
      <c r="B129" s="249">
        <v>110175</v>
      </c>
      <c r="C129" s="263">
        <v>45100.27</v>
      </c>
      <c r="D129" s="249">
        <f t="shared" si="14"/>
        <v>-65074.73</v>
      </c>
      <c r="E129" s="266" t="s">
        <v>1818</v>
      </c>
      <c r="F129" s="266"/>
      <c r="G129" s="268"/>
      <c r="H129" s="269"/>
      <c r="I129" s="269"/>
    </row>
    <row r="130" spans="1:9" ht="22.5" customHeight="1" x14ac:dyDescent="0.25">
      <c r="A130" s="270" t="s">
        <v>1819</v>
      </c>
      <c r="B130" s="249">
        <v>0</v>
      </c>
      <c r="C130" s="263">
        <v>46624771.509999998</v>
      </c>
      <c r="D130" s="249">
        <f t="shared" si="14"/>
        <v>46624771.509999998</v>
      </c>
      <c r="E130" s="265" t="s">
        <v>1820</v>
      </c>
      <c r="F130" s="265"/>
      <c r="G130" s="268"/>
      <c r="H130" s="269"/>
      <c r="I130" s="269"/>
    </row>
    <row r="131" spans="1:9" ht="22.5" customHeight="1" x14ac:dyDescent="0.25">
      <c r="A131" s="270" t="s">
        <v>1821</v>
      </c>
      <c r="B131" s="249"/>
      <c r="C131" s="263">
        <v>109609253.43000001</v>
      </c>
      <c r="D131" s="249">
        <f t="shared" si="14"/>
        <v>109609253.43000001</v>
      </c>
      <c r="E131" s="265" t="s">
        <v>1822</v>
      </c>
      <c r="F131" s="265"/>
      <c r="G131" s="268"/>
      <c r="H131" s="269"/>
      <c r="I131" s="269"/>
    </row>
    <row r="132" spans="1:9" ht="22.5" customHeight="1" x14ac:dyDescent="0.25">
      <c r="A132" s="270" t="s">
        <v>1823</v>
      </c>
      <c r="B132" s="249"/>
      <c r="C132" s="263">
        <v>208319</v>
      </c>
      <c r="D132" s="249">
        <f t="shared" si="14"/>
        <v>208319</v>
      </c>
      <c r="E132" s="265" t="s">
        <v>1822</v>
      </c>
      <c r="F132" s="265"/>
      <c r="G132" s="268"/>
      <c r="H132" s="269"/>
      <c r="I132" s="269"/>
    </row>
    <row r="133" spans="1:9" ht="22.5" customHeight="1" x14ac:dyDescent="0.25">
      <c r="A133" s="260" t="s">
        <v>1824</v>
      </c>
      <c r="B133" s="249"/>
      <c r="C133" s="263"/>
      <c r="D133" s="249">
        <f t="shared" si="14"/>
        <v>0</v>
      </c>
      <c r="E133" s="271"/>
      <c r="F133" s="271"/>
      <c r="G133" s="197"/>
    </row>
    <row r="134" spans="1:9" ht="22.5" customHeight="1" x14ac:dyDescent="0.25">
      <c r="A134" s="267" t="s">
        <v>1825</v>
      </c>
      <c r="B134" s="249">
        <v>973369.85</v>
      </c>
      <c r="C134" s="263"/>
      <c r="D134" s="249">
        <f t="shared" si="14"/>
        <v>-973369.85</v>
      </c>
      <c r="E134" s="266" t="s">
        <v>1826</v>
      </c>
      <c r="F134" s="266"/>
      <c r="G134" s="268"/>
      <c r="H134" s="269"/>
      <c r="I134" s="269"/>
    </row>
    <row r="135" spans="1:9" ht="22.5" customHeight="1" x14ac:dyDescent="0.25">
      <c r="A135" s="267" t="s">
        <v>1827</v>
      </c>
      <c r="B135" s="249">
        <v>23193043.68</v>
      </c>
      <c r="C135" s="263"/>
      <c r="D135" s="249">
        <f t="shared" si="14"/>
        <v>-23193043.68</v>
      </c>
      <c r="E135" s="266" t="s">
        <v>1826</v>
      </c>
      <c r="F135" s="266"/>
      <c r="G135" s="268"/>
      <c r="H135" s="269"/>
      <c r="I135" s="269"/>
    </row>
    <row r="136" spans="1:9" ht="22.5" customHeight="1" x14ac:dyDescent="0.25">
      <c r="A136" s="267" t="s">
        <v>1828</v>
      </c>
      <c r="B136" s="249">
        <v>333876.34999999998</v>
      </c>
      <c r="C136" s="263"/>
      <c r="D136" s="249">
        <f t="shared" si="14"/>
        <v>-333876.34999999998</v>
      </c>
      <c r="E136" s="266" t="s">
        <v>1826</v>
      </c>
      <c r="F136" s="266"/>
      <c r="G136" s="268"/>
      <c r="H136" s="269"/>
      <c r="I136" s="269"/>
    </row>
    <row r="137" spans="1:9" ht="22.5" customHeight="1" x14ac:dyDescent="0.25">
      <c r="A137" s="267" t="s">
        <v>1829</v>
      </c>
      <c r="B137" s="249">
        <v>33375211</v>
      </c>
      <c r="C137" s="263"/>
      <c r="D137" s="249">
        <f t="shared" si="14"/>
        <v>-33375211</v>
      </c>
      <c r="E137" s="266" t="s">
        <v>1826</v>
      </c>
      <c r="F137" s="266"/>
      <c r="G137" s="268"/>
      <c r="H137" s="269"/>
      <c r="I137" s="269"/>
    </row>
    <row r="138" spans="1:9" ht="22.5" customHeight="1" x14ac:dyDescent="0.25">
      <c r="A138" s="272" t="s">
        <v>1830</v>
      </c>
      <c r="B138" s="249"/>
      <c r="C138" s="263"/>
      <c r="D138" s="249">
        <f t="shared" si="14"/>
        <v>0</v>
      </c>
      <c r="E138" s="271"/>
      <c r="F138" s="271"/>
      <c r="G138" s="197"/>
    </row>
    <row r="139" spans="1:9" ht="22.5" customHeight="1" x14ac:dyDescent="0.25">
      <c r="A139" s="273" t="s">
        <v>1831</v>
      </c>
      <c r="B139" s="249">
        <v>2524956.1800000002</v>
      </c>
      <c r="C139" s="263">
        <v>2524956.1800000002</v>
      </c>
      <c r="D139" s="249">
        <f t="shared" si="14"/>
        <v>0</v>
      </c>
      <c r="E139" s="271"/>
      <c r="F139" s="271"/>
      <c r="G139" s="197"/>
    </row>
    <row r="140" spans="1:9" ht="22.5" customHeight="1" x14ac:dyDescent="0.25">
      <c r="A140" s="274" t="s">
        <v>1832</v>
      </c>
      <c r="B140" s="249">
        <v>153373339</v>
      </c>
      <c r="C140" s="263">
        <v>285809598</v>
      </c>
      <c r="D140" s="249">
        <f t="shared" ref="D140:D159" si="15">C140-B140</f>
        <v>132436259</v>
      </c>
      <c r="E140" s="266" t="s">
        <v>1833</v>
      </c>
      <c r="F140" s="266"/>
      <c r="G140" s="197"/>
    </row>
    <row r="141" spans="1:9" ht="22.5" customHeight="1" x14ac:dyDescent="0.25">
      <c r="A141" s="273" t="s">
        <v>1834</v>
      </c>
      <c r="B141" s="249">
        <v>104166626.64</v>
      </c>
      <c r="C141" s="263">
        <v>104166619.98</v>
      </c>
      <c r="D141" s="249">
        <f t="shared" si="15"/>
        <v>-6.6599999964237213</v>
      </c>
      <c r="E141" s="266"/>
      <c r="F141" s="266"/>
      <c r="G141" s="197"/>
    </row>
    <row r="142" spans="1:9" ht="22.5" customHeight="1" x14ac:dyDescent="0.25">
      <c r="A142" s="274" t="s">
        <v>1835</v>
      </c>
      <c r="B142" s="249">
        <v>192671070.24000001</v>
      </c>
      <c r="C142" s="263">
        <v>183119556.30000001</v>
      </c>
      <c r="D142" s="249">
        <f t="shared" si="15"/>
        <v>-9551513.9399999976</v>
      </c>
      <c r="E142" s="266" t="s">
        <v>1836</v>
      </c>
      <c r="F142" s="266"/>
      <c r="G142" s="197"/>
    </row>
    <row r="143" spans="1:9" ht="22.5" customHeight="1" x14ac:dyDescent="0.25">
      <c r="A143" s="274" t="s">
        <v>1837</v>
      </c>
      <c r="B143" s="249">
        <v>3549480</v>
      </c>
      <c r="C143" s="263">
        <v>3549480</v>
      </c>
      <c r="D143" s="249">
        <f t="shared" si="15"/>
        <v>0</v>
      </c>
      <c r="E143" s="266"/>
      <c r="F143" s="266"/>
      <c r="G143" s="197"/>
    </row>
    <row r="144" spans="1:9" ht="22.5" customHeight="1" x14ac:dyDescent="0.25">
      <c r="A144" s="274" t="s">
        <v>1838</v>
      </c>
      <c r="B144" s="249">
        <v>533115.59</v>
      </c>
      <c r="C144" s="263">
        <v>339412.19</v>
      </c>
      <c r="D144" s="249">
        <f t="shared" si="15"/>
        <v>-193703.39999999997</v>
      </c>
      <c r="E144" s="266" t="s">
        <v>1756</v>
      </c>
      <c r="F144" s="266"/>
      <c r="G144" s="197"/>
    </row>
    <row r="145" spans="1:7" ht="22.5" customHeight="1" x14ac:dyDescent="0.25">
      <c r="A145" s="274" t="s">
        <v>1839</v>
      </c>
      <c r="B145" s="249">
        <v>6113575.4699999997</v>
      </c>
      <c r="C145" s="263">
        <v>5889427.5199999996</v>
      </c>
      <c r="D145" s="249">
        <f t="shared" si="15"/>
        <v>-224147.95000000019</v>
      </c>
      <c r="E145" s="266" t="s">
        <v>1840</v>
      </c>
      <c r="F145" s="266"/>
      <c r="G145" s="197"/>
    </row>
    <row r="146" spans="1:7" ht="22.5" customHeight="1" x14ac:dyDescent="0.25">
      <c r="A146" s="274" t="s">
        <v>1841</v>
      </c>
      <c r="B146" s="249">
        <v>3232721</v>
      </c>
      <c r="C146" s="263">
        <v>3232721</v>
      </c>
      <c r="D146" s="249">
        <f t="shared" si="15"/>
        <v>0</v>
      </c>
      <c r="E146" s="266"/>
      <c r="F146" s="266"/>
      <c r="G146" s="197"/>
    </row>
    <row r="147" spans="1:7" ht="22.5" customHeight="1" x14ac:dyDescent="0.25">
      <c r="A147" s="274" t="s">
        <v>1842</v>
      </c>
      <c r="B147" s="249">
        <v>91194458.430000007</v>
      </c>
      <c r="C147" s="263">
        <v>91000328.329999998</v>
      </c>
      <c r="D147" s="249">
        <f t="shared" si="15"/>
        <v>-194130.10000000894</v>
      </c>
      <c r="E147" s="266" t="s">
        <v>1843</v>
      </c>
      <c r="F147" s="266"/>
      <c r="G147" s="197"/>
    </row>
    <row r="148" spans="1:7" ht="22.5" customHeight="1" x14ac:dyDescent="0.25">
      <c r="A148" s="274" t="s">
        <v>1844</v>
      </c>
      <c r="B148" s="249">
        <v>0</v>
      </c>
      <c r="C148" s="263"/>
      <c r="D148" s="249">
        <f t="shared" si="15"/>
        <v>0</v>
      </c>
      <c r="E148" s="266"/>
      <c r="F148" s="266"/>
      <c r="G148" s="197"/>
    </row>
    <row r="149" spans="1:7" ht="22.5" customHeight="1" x14ac:dyDescent="0.25">
      <c r="A149" s="273" t="s">
        <v>1845</v>
      </c>
      <c r="B149" s="249">
        <v>585450</v>
      </c>
      <c r="C149" s="263">
        <v>585450</v>
      </c>
      <c r="D149" s="249">
        <f t="shared" si="15"/>
        <v>0</v>
      </c>
      <c r="E149" s="266"/>
      <c r="F149" s="266"/>
      <c r="G149" s="197"/>
    </row>
    <row r="150" spans="1:7" ht="22.5" customHeight="1" x14ac:dyDescent="0.25">
      <c r="A150" s="274" t="s">
        <v>1846</v>
      </c>
      <c r="B150" s="249">
        <v>0</v>
      </c>
      <c r="C150" s="263"/>
      <c r="D150" s="249">
        <f t="shared" si="15"/>
        <v>0</v>
      </c>
      <c r="E150" s="266"/>
      <c r="F150" s="266"/>
      <c r="G150" s="197"/>
    </row>
    <row r="151" spans="1:7" ht="22.5" customHeight="1" x14ac:dyDescent="0.25">
      <c r="A151" s="274" t="s">
        <v>1847</v>
      </c>
      <c r="B151" s="249">
        <v>851427.8</v>
      </c>
      <c r="C151" s="263">
        <v>851427.8</v>
      </c>
      <c r="D151" s="249">
        <f t="shared" si="15"/>
        <v>0</v>
      </c>
      <c r="E151" s="266"/>
      <c r="F151" s="266"/>
      <c r="G151" s="197"/>
    </row>
    <row r="152" spans="1:7" ht="22.5" customHeight="1" x14ac:dyDescent="0.25">
      <c r="A152" s="274" t="s">
        <v>1848</v>
      </c>
      <c r="B152" s="249">
        <v>4382445</v>
      </c>
      <c r="C152" s="263">
        <v>4382445</v>
      </c>
      <c r="D152" s="249">
        <f t="shared" si="15"/>
        <v>0</v>
      </c>
      <c r="E152" s="266"/>
      <c r="F152" s="266"/>
      <c r="G152" s="197"/>
    </row>
    <row r="153" spans="1:7" ht="22.5" customHeight="1" x14ac:dyDescent="0.25">
      <c r="A153" s="273" t="s">
        <v>1849</v>
      </c>
      <c r="B153" s="249"/>
      <c r="C153" s="263">
        <v>6160062.6799999997</v>
      </c>
      <c r="D153" s="249">
        <f t="shared" si="15"/>
        <v>6160062.6799999997</v>
      </c>
      <c r="E153" s="266" t="s">
        <v>1822</v>
      </c>
      <c r="F153" s="266"/>
      <c r="G153" s="197"/>
    </row>
    <row r="154" spans="1:7" ht="22.5" customHeight="1" x14ac:dyDescent="0.25">
      <c r="A154" s="274" t="s">
        <v>1850</v>
      </c>
      <c r="B154" s="249"/>
      <c r="C154" s="263">
        <v>157768895.90000001</v>
      </c>
      <c r="D154" s="249">
        <f t="shared" si="15"/>
        <v>157768895.90000001</v>
      </c>
      <c r="E154" s="266" t="s">
        <v>1822</v>
      </c>
      <c r="F154" s="266"/>
      <c r="G154" s="197"/>
    </row>
    <row r="155" spans="1:7" ht="22.5" customHeight="1" x14ac:dyDescent="0.25">
      <c r="A155" s="274" t="s">
        <v>1851</v>
      </c>
      <c r="B155" s="249"/>
      <c r="C155" s="263">
        <v>1910</v>
      </c>
      <c r="D155" s="249">
        <f t="shared" si="15"/>
        <v>1910</v>
      </c>
      <c r="E155" s="266" t="s">
        <v>1822</v>
      </c>
      <c r="F155" s="266"/>
      <c r="G155" s="197"/>
    </row>
    <row r="156" spans="1:7" ht="22.5" customHeight="1" x14ac:dyDescent="0.25">
      <c r="A156" s="274" t="s">
        <v>1852</v>
      </c>
      <c r="B156" s="249"/>
      <c r="C156" s="263">
        <v>2758</v>
      </c>
      <c r="D156" s="249">
        <f t="shared" si="15"/>
        <v>2758</v>
      </c>
      <c r="E156" s="266" t="s">
        <v>1853</v>
      </c>
      <c r="F156" s="266"/>
      <c r="G156" s="197"/>
    </row>
    <row r="157" spans="1:7" ht="22.5" customHeight="1" x14ac:dyDescent="0.25">
      <c r="A157" s="274" t="s">
        <v>1854</v>
      </c>
      <c r="B157" s="249"/>
      <c r="C157" s="263">
        <v>146611.6</v>
      </c>
      <c r="D157" s="249">
        <f t="shared" si="15"/>
        <v>146611.6</v>
      </c>
      <c r="E157" s="266" t="s">
        <v>1822</v>
      </c>
      <c r="F157" s="266"/>
      <c r="G157" s="197"/>
    </row>
    <row r="158" spans="1:7" ht="22.5" customHeight="1" x14ac:dyDescent="0.25">
      <c r="A158" s="253"/>
      <c r="B158" s="249"/>
      <c r="C158" s="249"/>
      <c r="D158" s="249">
        <f t="shared" si="15"/>
        <v>0</v>
      </c>
      <c r="E158" s="275"/>
      <c r="F158" s="275"/>
      <c r="G158" s="197"/>
    </row>
    <row r="159" spans="1:7" ht="22.5" customHeight="1" x14ac:dyDescent="0.25">
      <c r="A159" s="255" t="s">
        <v>1747</v>
      </c>
      <c r="B159" s="256">
        <f>SUM(B74:B158)</f>
        <v>1713833779.4099998</v>
      </c>
      <c r="C159" s="256">
        <f>SUM(C74:C158)</f>
        <v>2099404119.9799998</v>
      </c>
      <c r="D159" s="256">
        <f>C159-B159</f>
        <v>385570340.56999993</v>
      </c>
      <c r="E159" s="276"/>
      <c r="F159" s="276"/>
      <c r="G159" s="197"/>
    </row>
    <row r="160" spans="1:7" ht="22.5" customHeight="1" x14ac:dyDescent="0.25">
      <c r="B160" s="197">
        <f>+B159-1713833779.41</f>
        <v>0</v>
      </c>
      <c r="C160" s="197">
        <f>+C159-2099404119.98</f>
        <v>0</v>
      </c>
      <c r="D160" s="197"/>
      <c r="E160" s="197"/>
      <c r="F160" s="197"/>
      <c r="G160" s="197"/>
    </row>
    <row r="161" ht="22.5" customHeight="1" x14ac:dyDescent="0.25"/>
  </sheetData>
  <mergeCells count="99">
    <mergeCell ref="E155:F155"/>
    <mergeCell ref="E156:F156"/>
    <mergeCell ref="E157:F157"/>
    <mergeCell ref="E158:F158"/>
    <mergeCell ref="E159:F159"/>
    <mergeCell ref="E149:F149"/>
    <mergeCell ref="E150:F150"/>
    <mergeCell ref="E151:F151"/>
    <mergeCell ref="E152:F152"/>
    <mergeCell ref="E153:F153"/>
    <mergeCell ref="E154:F154"/>
    <mergeCell ref="E143:F143"/>
    <mergeCell ref="E144:F144"/>
    <mergeCell ref="E145:F145"/>
    <mergeCell ref="E146:F146"/>
    <mergeCell ref="E147:F147"/>
    <mergeCell ref="E148:F148"/>
    <mergeCell ref="E137:F137"/>
    <mergeCell ref="E138:F138"/>
    <mergeCell ref="E139:F139"/>
    <mergeCell ref="E140:F140"/>
    <mergeCell ref="E141:F141"/>
    <mergeCell ref="E142:F142"/>
    <mergeCell ref="E131:F131"/>
    <mergeCell ref="E132:F132"/>
    <mergeCell ref="E133:F133"/>
    <mergeCell ref="E134:F134"/>
    <mergeCell ref="E135:F135"/>
    <mergeCell ref="E136:F136"/>
    <mergeCell ref="E125:F125"/>
    <mergeCell ref="E126:F126"/>
    <mergeCell ref="E127:F127"/>
    <mergeCell ref="E128:F128"/>
    <mergeCell ref="E129:F129"/>
    <mergeCell ref="E130:F130"/>
    <mergeCell ref="E119:F119"/>
    <mergeCell ref="E120:F120"/>
    <mergeCell ref="E121:F121"/>
    <mergeCell ref="E122:F122"/>
    <mergeCell ref="E123:F123"/>
    <mergeCell ref="E124:F124"/>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83:F83"/>
    <mergeCell ref="E84:F84"/>
    <mergeCell ref="E85:F85"/>
    <mergeCell ref="E86:F86"/>
    <mergeCell ref="E87:F87"/>
    <mergeCell ref="E88:F88"/>
    <mergeCell ref="E77:F77"/>
    <mergeCell ref="E78:F78"/>
    <mergeCell ref="E79:F79"/>
    <mergeCell ref="E80:F80"/>
    <mergeCell ref="E81:F81"/>
    <mergeCell ref="E82:F82"/>
    <mergeCell ref="F8:F9"/>
    <mergeCell ref="G8:G9"/>
    <mergeCell ref="E73:F73"/>
    <mergeCell ref="E74:F74"/>
    <mergeCell ref="E75:F75"/>
    <mergeCell ref="E76:F76"/>
    <mergeCell ref="A3:I3"/>
    <mergeCell ref="A4:I4"/>
    <mergeCell ref="A5:I5"/>
    <mergeCell ref="A7:A9"/>
    <mergeCell ref="B7:E7"/>
    <mergeCell ref="F7:G7"/>
    <mergeCell ref="H7:I7"/>
    <mergeCell ref="B8:B9"/>
    <mergeCell ref="C8:C9"/>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197"/>
  <sheetViews>
    <sheetView showGridLines="0" view="pageBreakPreview" zoomScaleNormal="100" zoomScaleSheetLayoutView="100" workbookViewId="0">
      <selection activeCell="A10" sqref="A10"/>
    </sheetView>
  </sheetViews>
  <sheetFormatPr baseColWidth="10" defaultColWidth="11.42578125" defaultRowHeight="12.75" x14ac:dyDescent="0.25"/>
  <cols>
    <col min="1" max="1" width="15.5703125" style="38" customWidth="1"/>
    <col min="2" max="2" width="63.5703125" style="41" customWidth="1"/>
    <col min="3" max="3" width="6" style="50" customWidth="1"/>
    <col min="4" max="4" width="20" style="38" bestFit="1" customWidth="1"/>
    <col min="5" max="5" width="21" style="38" bestFit="1" customWidth="1"/>
    <col min="6" max="6" width="22.85546875" style="38" customWidth="1"/>
    <col min="7" max="255" width="11.42578125" style="38"/>
    <col min="256" max="256" width="72.140625" style="38" customWidth="1"/>
    <col min="257" max="257" width="6" style="38" customWidth="1"/>
    <col min="258" max="259" width="11.42578125" style="38"/>
    <col min="260" max="260" width="14.28515625" style="38" customWidth="1"/>
    <col min="261" max="511" width="11.42578125" style="38"/>
    <col min="512" max="512" width="72.140625" style="38" customWidth="1"/>
    <col min="513" max="513" width="6" style="38" customWidth="1"/>
    <col min="514" max="515" width="11.42578125" style="38"/>
    <col min="516" max="516" width="14.28515625" style="38" customWidth="1"/>
    <col min="517" max="767" width="11.42578125" style="38"/>
    <col min="768" max="768" width="72.140625" style="38" customWidth="1"/>
    <col min="769" max="769" width="6" style="38" customWidth="1"/>
    <col min="770" max="771" width="11.42578125" style="38"/>
    <col min="772" max="772" width="14.28515625" style="38" customWidth="1"/>
    <col min="773" max="1023" width="11.42578125" style="38"/>
    <col min="1024" max="1024" width="72.140625" style="38" customWidth="1"/>
    <col min="1025" max="1025" width="6" style="38" customWidth="1"/>
    <col min="1026" max="1027" width="11.42578125" style="38"/>
    <col min="1028" max="1028" width="14.28515625" style="38" customWidth="1"/>
    <col min="1029" max="1279" width="11.42578125" style="38"/>
    <col min="1280" max="1280" width="72.140625" style="38" customWidth="1"/>
    <col min="1281" max="1281" width="6" style="38" customWidth="1"/>
    <col min="1282" max="1283" width="11.42578125" style="38"/>
    <col min="1284" max="1284" width="14.28515625" style="38" customWidth="1"/>
    <col min="1285" max="1535" width="11.42578125" style="38"/>
    <col min="1536" max="1536" width="72.140625" style="38" customWidth="1"/>
    <col min="1537" max="1537" width="6" style="38" customWidth="1"/>
    <col min="1538" max="1539" width="11.42578125" style="38"/>
    <col min="1540" max="1540" width="14.28515625" style="38" customWidth="1"/>
    <col min="1541" max="1791" width="11.42578125" style="38"/>
    <col min="1792" max="1792" width="72.140625" style="38" customWidth="1"/>
    <col min="1793" max="1793" width="6" style="38" customWidth="1"/>
    <col min="1794" max="1795" width="11.42578125" style="38"/>
    <col min="1796" max="1796" width="14.28515625" style="38" customWidth="1"/>
    <col min="1797" max="2047" width="11.42578125" style="38"/>
    <col min="2048" max="2048" width="72.140625" style="38" customWidth="1"/>
    <col min="2049" max="2049" width="6" style="38" customWidth="1"/>
    <col min="2050" max="2051" width="11.42578125" style="38"/>
    <col min="2052" max="2052" width="14.28515625" style="38" customWidth="1"/>
    <col min="2053" max="2303" width="11.42578125" style="38"/>
    <col min="2304" max="2304" width="72.140625" style="38" customWidth="1"/>
    <col min="2305" max="2305" width="6" style="38" customWidth="1"/>
    <col min="2306" max="2307" width="11.42578125" style="38"/>
    <col min="2308" max="2308" width="14.28515625" style="38" customWidth="1"/>
    <col min="2309" max="2559" width="11.42578125" style="38"/>
    <col min="2560" max="2560" width="72.140625" style="38" customWidth="1"/>
    <col min="2561" max="2561" width="6" style="38" customWidth="1"/>
    <col min="2562" max="2563" width="11.42578125" style="38"/>
    <col min="2564" max="2564" width="14.28515625" style="38" customWidth="1"/>
    <col min="2565" max="2815" width="11.42578125" style="38"/>
    <col min="2816" max="2816" width="72.140625" style="38" customWidth="1"/>
    <col min="2817" max="2817" width="6" style="38" customWidth="1"/>
    <col min="2818" max="2819" width="11.42578125" style="38"/>
    <col min="2820" max="2820" width="14.28515625" style="38" customWidth="1"/>
    <col min="2821" max="3071" width="11.42578125" style="38"/>
    <col min="3072" max="3072" width="72.140625" style="38" customWidth="1"/>
    <col min="3073" max="3073" width="6" style="38" customWidth="1"/>
    <col min="3074" max="3075" width="11.42578125" style="38"/>
    <col min="3076" max="3076" width="14.28515625" style="38" customWidth="1"/>
    <col min="3077" max="3327" width="11.42578125" style="38"/>
    <col min="3328" max="3328" width="72.140625" style="38" customWidth="1"/>
    <col min="3329" max="3329" width="6" style="38" customWidth="1"/>
    <col min="3330" max="3331" width="11.42578125" style="38"/>
    <col min="3332" max="3332" width="14.28515625" style="38" customWidth="1"/>
    <col min="3333" max="3583" width="11.42578125" style="38"/>
    <col min="3584" max="3584" width="72.140625" style="38" customWidth="1"/>
    <col min="3585" max="3585" width="6" style="38" customWidth="1"/>
    <col min="3586" max="3587" width="11.42578125" style="38"/>
    <col min="3588" max="3588" width="14.28515625" style="38" customWidth="1"/>
    <col min="3589" max="3839" width="11.42578125" style="38"/>
    <col min="3840" max="3840" width="72.140625" style="38" customWidth="1"/>
    <col min="3841" max="3841" width="6" style="38" customWidth="1"/>
    <col min="3842" max="3843" width="11.42578125" style="38"/>
    <col min="3844" max="3844" width="14.28515625" style="38" customWidth="1"/>
    <col min="3845" max="4095" width="11.42578125" style="38"/>
    <col min="4096" max="4096" width="72.140625" style="38" customWidth="1"/>
    <col min="4097" max="4097" width="6" style="38" customWidth="1"/>
    <col min="4098" max="4099" width="11.42578125" style="38"/>
    <col min="4100" max="4100" width="14.28515625" style="38" customWidth="1"/>
    <col min="4101" max="4351" width="11.42578125" style="38"/>
    <col min="4352" max="4352" width="72.140625" style="38" customWidth="1"/>
    <col min="4353" max="4353" width="6" style="38" customWidth="1"/>
    <col min="4354" max="4355" width="11.42578125" style="38"/>
    <col min="4356" max="4356" width="14.28515625" style="38" customWidth="1"/>
    <col min="4357" max="4607" width="11.42578125" style="38"/>
    <col min="4608" max="4608" width="72.140625" style="38" customWidth="1"/>
    <col min="4609" max="4609" width="6" style="38" customWidth="1"/>
    <col min="4610" max="4611" width="11.42578125" style="38"/>
    <col min="4612" max="4612" width="14.28515625" style="38" customWidth="1"/>
    <col min="4613" max="4863" width="11.42578125" style="38"/>
    <col min="4864" max="4864" width="72.140625" style="38" customWidth="1"/>
    <col min="4865" max="4865" width="6" style="38" customWidth="1"/>
    <col min="4866" max="4867" width="11.42578125" style="38"/>
    <col min="4868" max="4868" width="14.28515625" style="38" customWidth="1"/>
    <col min="4869" max="5119" width="11.42578125" style="38"/>
    <col min="5120" max="5120" width="72.140625" style="38" customWidth="1"/>
    <col min="5121" max="5121" width="6" style="38" customWidth="1"/>
    <col min="5122" max="5123" width="11.42578125" style="38"/>
    <col min="5124" max="5124" width="14.28515625" style="38" customWidth="1"/>
    <col min="5125" max="5375" width="11.42578125" style="38"/>
    <col min="5376" max="5376" width="72.140625" style="38" customWidth="1"/>
    <col min="5377" max="5377" width="6" style="38" customWidth="1"/>
    <col min="5378" max="5379" width="11.42578125" style="38"/>
    <col min="5380" max="5380" width="14.28515625" style="38" customWidth="1"/>
    <col min="5381" max="5631" width="11.42578125" style="38"/>
    <col min="5632" max="5632" width="72.140625" style="38" customWidth="1"/>
    <col min="5633" max="5633" width="6" style="38" customWidth="1"/>
    <col min="5634" max="5635" width="11.42578125" style="38"/>
    <col min="5636" max="5636" width="14.28515625" style="38" customWidth="1"/>
    <col min="5637" max="5887" width="11.42578125" style="38"/>
    <col min="5888" max="5888" width="72.140625" style="38" customWidth="1"/>
    <col min="5889" max="5889" width="6" style="38" customWidth="1"/>
    <col min="5890" max="5891" width="11.42578125" style="38"/>
    <col min="5892" max="5892" width="14.28515625" style="38" customWidth="1"/>
    <col min="5893" max="6143" width="11.42578125" style="38"/>
    <col min="6144" max="6144" width="72.140625" style="38" customWidth="1"/>
    <col min="6145" max="6145" width="6" style="38" customWidth="1"/>
    <col min="6146" max="6147" width="11.42578125" style="38"/>
    <col min="6148" max="6148" width="14.28515625" style="38" customWidth="1"/>
    <col min="6149" max="6399" width="11.42578125" style="38"/>
    <col min="6400" max="6400" width="72.140625" style="38" customWidth="1"/>
    <col min="6401" max="6401" width="6" style="38" customWidth="1"/>
    <col min="6402" max="6403" width="11.42578125" style="38"/>
    <col min="6404" max="6404" width="14.28515625" style="38" customWidth="1"/>
    <col min="6405" max="6655" width="11.42578125" style="38"/>
    <col min="6656" max="6656" width="72.140625" style="38" customWidth="1"/>
    <col min="6657" max="6657" width="6" style="38" customWidth="1"/>
    <col min="6658" max="6659" width="11.42578125" style="38"/>
    <col min="6660" max="6660" width="14.28515625" style="38" customWidth="1"/>
    <col min="6661" max="6911" width="11.42578125" style="38"/>
    <col min="6912" max="6912" width="72.140625" style="38" customWidth="1"/>
    <col min="6913" max="6913" width="6" style="38" customWidth="1"/>
    <col min="6914" max="6915" width="11.42578125" style="38"/>
    <col min="6916" max="6916" width="14.28515625" style="38" customWidth="1"/>
    <col min="6917" max="7167" width="11.42578125" style="38"/>
    <col min="7168" max="7168" width="72.140625" style="38" customWidth="1"/>
    <col min="7169" max="7169" width="6" style="38" customWidth="1"/>
    <col min="7170" max="7171" width="11.42578125" style="38"/>
    <col min="7172" max="7172" width="14.28515625" style="38" customWidth="1"/>
    <col min="7173" max="7423" width="11.42578125" style="38"/>
    <col min="7424" max="7424" width="72.140625" style="38" customWidth="1"/>
    <col min="7425" max="7425" width="6" style="38" customWidth="1"/>
    <col min="7426" max="7427" width="11.42578125" style="38"/>
    <col min="7428" max="7428" width="14.28515625" style="38" customWidth="1"/>
    <col min="7429" max="7679" width="11.42578125" style="38"/>
    <col min="7680" max="7680" width="72.140625" style="38" customWidth="1"/>
    <col min="7681" max="7681" width="6" style="38" customWidth="1"/>
    <col min="7682" max="7683" width="11.42578125" style="38"/>
    <col min="7684" max="7684" width="14.28515625" style="38" customWidth="1"/>
    <col min="7685" max="7935" width="11.42578125" style="38"/>
    <col min="7936" max="7936" width="72.140625" style="38" customWidth="1"/>
    <col min="7937" max="7937" width="6" style="38" customWidth="1"/>
    <col min="7938" max="7939" width="11.42578125" style="38"/>
    <col min="7940" max="7940" width="14.28515625" style="38" customWidth="1"/>
    <col min="7941" max="8191" width="11.42578125" style="38"/>
    <col min="8192" max="8192" width="72.140625" style="38" customWidth="1"/>
    <col min="8193" max="8193" width="6" style="38" customWidth="1"/>
    <col min="8194" max="8195" width="11.42578125" style="38"/>
    <col min="8196" max="8196" width="14.28515625" style="38" customWidth="1"/>
    <col min="8197" max="8447" width="11.42578125" style="38"/>
    <col min="8448" max="8448" width="72.140625" style="38" customWidth="1"/>
    <col min="8449" max="8449" width="6" style="38" customWidth="1"/>
    <col min="8450" max="8451" width="11.42578125" style="38"/>
    <col min="8452" max="8452" width="14.28515625" style="38" customWidth="1"/>
    <col min="8453" max="8703" width="11.42578125" style="38"/>
    <col min="8704" max="8704" width="72.140625" style="38" customWidth="1"/>
    <col min="8705" max="8705" width="6" style="38" customWidth="1"/>
    <col min="8706" max="8707" width="11.42578125" style="38"/>
    <col min="8708" max="8708" width="14.28515625" style="38" customWidth="1"/>
    <col min="8709" max="8959" width="11.42578125" style="38"/>
    <col min="8960" max="8960" width="72.140625" style="38" customWidth="1"/>
    <col min="8961" max="8961" width="6" style="38" customWidth="1"/>
    <col min="8962" max="8963" width="11.42578125" style="38"/>
    <col min="8964" max="8964" width="14.28515625" style="38" customWidth="1"/>
    <col min="8965" max="9215" width="11.42578125" style="38"/>
    <col min="9216" max="9216" width="72.140625" style="38" customWidth="1"/>
    <col min="9217" max="9217" width="6" style="38" customWidth="1"/>
    <col min="9218" max="9219" width="11.42578125" style="38"/>
    <col min="9220" max="9220" width="14.28515625" style="38" customWidth="1"/>
    <col min="9221" max="9471" width="11.42578125" style="38"/>
    <col min="9472" max="9472" width="72.140625" style="38" customWidth="1"/>
    <col min="9473" max="9473" width="6" style="38" customWidth="1"/>
    <col min="9474" max="9475" width="11.42578125" style="38"/>
    <col min="9476" max="9476" width="14.28515625" style="38" customWidth="1"/>
    <col min="9477" max="9727" width="11.42578125" style="38"/>
    <col min="9728" max="9728" width="72.140625" style="38" customWidth="1"/>
    <col min="9729" max="9729" width="6" style="38" customWidth="1"/>
    <col min="9730" max="9731" width="11.42578125" style="38"/>
    <col min="9732" max="9732" width="14.28515625" style="38" customWidth="1"/>
    <col min="9733" max="9983" width="11.42578125" style="38"/>
    <col min="9984" max="9984" width="72.140625" style="38" customWidth="1"/>
    <col min="9985" max="9985" width="6" style="38" customWidth="1"/>
    <col min="9986" max="9987" width="11.42578125" style="38"/>
    <col min="9988" max="9988" width="14.28515625" style="38" customWidth="1"/>
    <col min="9989" max="10239" width="11.42578125" style="38"/>
    <col min="10240" max="10240" width="72.140625" style="38" customWidth="1"/>
    <col min="10241" max="10241" width="6" style="38" customWidth="1"/>
    <col min="10242" max="10243" width="11.42578125" style="38"/>
    <col min="10244" max="10244" width="14.28515625" style="38" customWidth="1"/>
    <col min="10245" max="10495" width="11.42578125" style="38"/>
    <col min="10496" max="10496" width="72.140625" style="38" customWidth="1"/>
    <col min="10497" max="10497" width="6" style="38" customWidth="1"/>
    <col min="10498" max="10499" width="11.42578125" style="38"/>
    <col min="10500" max="10500" width="14.28515625" style="38" customWidth="1"/>
    <col min="10501" max="10751" width="11.42578125" style="38"/>
    <col min="10752" max="10752" width="72.140625" style="38" customWidth="1"/>
    <col min="10753" max="10753" width="6" style="38" customWidth="1"/>
    <col min="10754" max="10755" width="11.42578125" style="38"/>
    <col min="10756" max="10756" width="14.28515625" style="38" customWidth="1"/>
    <col min="10757" max="11007" width="11.42578125" style="38"/>
    <col min="11008" max="11008" width="72.140625" style="38" customWidth="1"/>
    <col min="11009" max="11009" width="6" style="38" customWidth="1"/>
    <col min="11010" max="11011" width="11.42578125" style="38"/>
    <col min="11012" max="11012" width="14.28515625" style="38" customWidth="1"/>
    <col min="11013" max="11263" width="11.42578125" style="38"/>
    <col min="11264" max="11264" width="72.140625" style="38" customWidth="1"/>
    <col min="11265" max="11265" width="6" style="38" customWidth="1"/>
    <col min="11266" max="11267" width="11.42578125" style="38"/>
    <col min="11268" max="11268" width="14.28515625" style="38" customWidth="1"/>
    <col min="11269" max="11519" width="11.42578125" style="38"/>
    <col min="11520" max="11520" width="72.140625" style="38" customWidth="1"/>
    <col min="11521" max="11521" width="6" style="38" customWidth="1"/>
    <col min="11522" max="11523" width="11.42578125" style="38"/>
    <col min="11524" max="11524" width="14.28515625" style="38" customWidth="1"/>
    <col min="11525" max="11775" width="11.42578125" style="38"/>
    <col min="11776" max="11776" width="72.140625" style="38" customWidth="1"/>
    <col min="11777" max="11777" width="6" style="38" customWidth="1"/>
    <col min="11778" max="11779" width="11.42578125" style="38"/>
    <col min="11780" max="11780" width="14.28515625" style="38" customWidth="1"/>
    <col min="11781" max="12031" width="11.42578125" style="38"/>
    <col min="12032" max="12032" width="72.140625" style="38" customWidth="1"/>
    <col min="12033" max="12033" width="6" style="38" customWidth="1"/>
    <col min="12034" max="12035" width="11.42578125" style="38"/>
    <col min="12036" max="12036" width="14.28515625" style="38" customWidth="1"/>
    <col min="12037" max="12287" width="11.42578125" style="38"/>
    <col min="12288" max="12288" width="72.140625" style="38" customWidth="1"/>
    <col min="12289" max="12289" width="6" style="38" customWidth="1"/>
    <col min="12290" max="12291" width="11.42578125" style="38"/>
    <col min="12292" max="12292" width="14.28515625" style="38" customWidth="1"/>
    <col min="12293" max="12543" width="11.42578125" style="38"/>
    <col min="12544" max="12544" width="72.140625" style="38" customWidth="1"/>
    <col min="12545" max="12545" width="6" style="38" customWidth="1"/>
    <col min="12546" max="12547" width="11.42578125" style="38"/>
    <col min="12548" max="12548" width="14.28515625" style="38" customWidth="1"/>
    <col min="12549" max="12799" width="11.42578125" style="38"/>
    <col min="12800" max="12800" width="72.140625" style="38" customWidth="1"/>
    <col min="12801" max="12801" width="6" style="38" customWidth="1"/>
    <col min="12802" max="12803" width="11.42578125" style="38"/>
    <col min="12804" max="12804" width="14.28515625" style="38" customWidth="1"/>
    <col min="12805" max="13055" width="11.42578125" style="38"/>
    <col min="13056" max="13056" width="72.140625" style="38" customWidth="1"/>
    <col min="13057" max="13057" width="6" style="38" customWidth="1"/>
    <col min="13058" max="13059" width="11.42578125" style="38"/>
    <col min="13060" max="13060" width="14.28515625" style="38" customWidth="1"/>
    <col min="13061" max="13311" width="11.42578125" style="38"/>
    <col min="13312" max="13312" width="72.140625" style="38" customWidth="1"/>
    <col min="13313" max="13313" width="6" style="38" customWidth="1"/>
    <col min="13314" max="13315" width="11.42578125" style="38"/>
    <col min="13316" max="13316" width="14.28515625" style="38" customWidth="1"/>
    <col min="13317" max="13567" width="11.42578125" style="38"/>
    <col min="13568" max="13568" width="72.140625" style="38" customWidth="1"/>
    <col min="13569" max="13569" width="6" style="38" customWidth="1"/>
    <col min="13570" max="13571" width="11.42578125" style="38"/>
    <col min="13572" max="13572" width="14.28515625" style="38" customWidth="1"/>
    <col min="13573" max="13823" width="11.42578125" style="38"/>
    <col min="13824" max="13824" width="72.140625" style="38" customWidth="1"/>
    <col min="13825" max="13825" width="6" style="38" customWidth="1"/>
    <col min="13826" max="13827" width="11.42578125" style="38"/>
    <col min="13828" max="13828" width="14.28515625" style="38" customWidth="1"/>
    <col min="13829" max="14079" width="11.42578125" style="38"/>
    <col min="14080" max="14080" width="72.140625" style="38" customWidth="1"/>
    <col min="14081" max="14081" width="6" style="38" customWidth="1"/>
    <col min="14082" max="14083" width="11.42578125" style="38"/>
    <col min="14084" max="14084" width="14.28515625" style="38" customWidth="1"/>
    <col min="14085" max="14335" width="11.42578125" style="38"/>
    <col min="14336" max="14336" width="72.140625" style="38" customWidth="1"/>
    <col min="14337" max="14337" width="6" style="38" customWidth="1"/>
    <col min="14338" max="14339" width="11.42578125" style="38"/>
    <col min="14340" max="14340" width="14.28515625" style="38" customWidth="1"/>
    <col min="14341" max="14591" width="11.42578125" style="38"/>
    <col min="14592" max="14592" width="72.140625" style="38" customWidth="1"/>
    <col min="14593" max="14593" width="6" style="38" customWidth="1"/>
    <col min="14594" max="14595" width="11.42578125" style="38"/>
    <col min="14596" max="14596" width="14.28515625" style="38" customWidth="1"/>
    <col min="14597" max="14847" width="11.42578125" style="38"/>
    <col min="14848" max="14848" width="72.140625" style="38" customWidth="1"/>
    <col min="14849" max="14849" width="6" style="38" customWidth="1"/>
    <col min="14850" max="14851" width="11.42578125" style="38"/>
    <col min="14852" max="14852" width="14.28515625" style="38" customWidth="1"/>
    <col min="14853" max="15103" width="11.42578125" style="38"/>
    <col min="15104" max="15104" width="72.140625" style="38" customWidth="1"/>
    <col min="15105" max="15105" width="6" style="38" customWidth="1"/>
    <col min="15106" max="15107" width="11.42578125" style="38"/>
    <col min="15108" max="15108" width="14.28515625" style="38" customWidth="1"/>
    <col min="15109" max="15359" width="11.42578125" style="38"/>
    <col min="15360" max="15360" width="72.140625" style="38" customWidth="1"/>
    <col min="15361" max="15361" width="6" style="38" customWidth="1"/>
    <col min="15362" max="15363" width="11.42578125" style="38"/>
    <col min="15364" max="15364" width="14.28515625" style="38" customWidth="1"/>
    <col min="15365" max="15615" width="11.42578125" style="38"/>
    <col min="15616" max="15616" width="72.140625" style="38" customWidth="1"/>
    <col min="15617" max="15617" width="6" style="38" customWidth="1"/>
    <col min="15618" max="15619" width="11.42578125" style="38"/>
    <col min="15620" max="15620" width="14.28515625" style="38" customWidth="1"/>
    <col min="15621" max="15871" width="11.42578125" style="38"/>
    <col min="15872" max="15872" width="72.140625" style="38" customWidth="1"/>
    <col min="15873" max="15873" width="6" style="38" customWidth="1"/>
    <col min="15874" max="15875" width="11.42578125" style="38"/>
    <col min="15876" max="15876" width="14.28515625" style="38" customWidth="1"/>
    <col min="15877" max="16127" width="11.42578125" style="38"/>
    <col min="16128" max="16128" width="72.140625" style="38" customWidth="1"/>
    <col min="16129" max="16129" width="6" style="38" customWidth="1"/>
    <col min="16130" max="16131" width="11.42578125" style="38"/>
    <col min="16132" max="16132" width="14.28515625" style="38" customWidth="1"/>
    <col min="16133" max="16384" width="11.42578125" style="38"/>
  </cols>
  <sheetData>
    <row r="1" spans="1:6" ht="18" customHeight="1" x14ac:dyDescent="0.25">
      <c r="A1" s="163" t="str">
        <f ca="1">Data!N1</f>
        <v/>
      </c>
      <c r="B1" s="163"/>
      <c r="C1" s="163"/>
      <c r="D1" s="163"/>
      <c r="E1" s="163"/>
    </row>
    <row r="2" spans="1:6" ht="18" customHeight="1" x14ac:dyDescent="0.25">
      <c r="A2" s="163" t="s">
        <v>0</v>
      </c>
      <c r="B2" s="163"/>
      <c r="C2" s="163"/>
      <c r="D2" s="163"/>
      <c r="E2" s="163"/>
      <c r="F2" s="39"/>
    </row>
    <row r="3" spans="1:6" ht="18" customHeight="1" x14ac:dyDescent="0.25">
      <c r="A3" s="163" t="str">
        <f ca="1">"Del " &amp; IF(Data!D2=Data!F1,Data!H1,
IF(Data!D2=Data!F2,Data!H2,
IF(Data!D2=Data!F3,Data!H3,
IF(Data!D2=Data!F4,Data!H4,
IF(Data!D2=Data!F5,Data!H5,
IF(Data!D2=Data!F6,Data!H6,
IF(Data!D2=Data!F7,Data!H7,
IF(Data!D2=Data!F8,Data!H8,
IF(Data!D2=Data!F9,Data!H9,
IF(Data!D2=Data!F10,Data!H10,
IF(Data!D2=Data!F11,Data!H11,
IF(Data!D2=Data!F12,Data!H12,
IF(Data!D2=Data!F13,Data!H13,
IF(Data!D2=Data!F14,Data!H14,
IF(Data!D2=Data!F15,Data!H15,
IF(Data!D2=Data!F16,Data!H16,0))))))))))))))))</f>
        <v>Del 0</v>
      </c>
      <c r="B3" s="163"/>
      <c r="C3" s="163"/>
      <c r="D3" s="163"/>
      <c r="E3" s="163"/>
    </row>
    <row r="4" spans="1:6" ht="18" customHeight="1" x14ac:dyDescent="0.25">
      <c r="A4" s="164" t="s">
        <v>1583</v>
      </c>
      <c r="B4" s="164"/>
      <c r="C4" s="164"/>
      <c r="D4" s="164"/>
      <c r="E4" s="164"/>
    </row>
    <row r="5" spans="1:6" ht="6" customHeight="1" x14ac:dyDescent="0.25">
      <c r="A5" s="92"/>
      <c r="B5" s="93"/>
      <c r="C5" s="94"/>
      <c r="D5" s="95"/>
      <c r="E5" s="95"/>
    </row>
    <row r="6" spans="1:6" ht="24.75" customHeight="1" x14ac:dyDescent="0.25">
      <c r="A6" s="90" t="s">
        <v>1590</v>
      </c>
      <c r="B6" s="90" t="s">
        <v>1677</v>
      </c>
      <c r="C6" s="91" t="s">
        <v>1</v>
      </c>
      <c r="D6" s="90" t="str">
        <f ca="1">"Año "&amp;Data!C2</f>
        <v>Año ados</v>
      </c>
      <c r="E6" s="90" t="e">
        <f ca="1">"Año "&amp;Data!C2-1</f>
        <v>#VALUE!</v>
      </c>
      <c r="F6" s="40"/>
    </row>
    <row r="7" spans="1:6" ht="6" customHeight="1" x14ac:dyDescent="0.25">
      <c r="C7" s="42"/>
      <c r="D7" s="43"/>
      <c r="E7" s="43"/>
    </row>
    <row r="8" spans="1:6" ht="18" customHeight="1" x14ac:dyDescent="0.25">
      <c r="A8" s="51" t="s">
        <v>2</v>
      </c>
      <c r="B8" s="52" t="s">
        <v>3</v>
      </c>
      <c r="C8" s="53"/>
      <c r="D8" s="54"/>
      <c r="E8" s="54"/>
      <c r="F8" s="44"/>
    </row>
    <row r="9" spans="1:6" ht="18" customHeight="1" x14ac:dyDescent="0.25">
      <c r="A9" s="55" t="s">
        <v>4</v>
      </c>
      <c r="B9" s="56" t="s">
        <v>5</v>
      </c>
      <c r="C9" s="57"/>
      <c r="D9" s="58"/>
      <c r="E9" s="58"/>
      <c r="F9" s="44"/>
    </row>
    <row r="10" spans="1:6" ht="18" customHeight="1" x14ac:dyDescent="0.25">
      <c r="A10" s="59" t="s">
        <v>6</v>
      </c>
      <c r="B10" s="60" t="s">
        <v>7</v>
      </c>
      <c r="C10" s="61" t="s">
        <v>8</v>
      </c>
      <c r="D10" s="62">
        <f>SUM(D11:D12)</f>
        <v>1012701.6574199999</v>
      </c>
      <c r="E10" s="62">
        <f>SUM(E11:E12)</f>
        <v>569340.05000000005</v>
      </c>
      <c r="F10" s="44"/>
    </row>
    <row r="11" spans="1:6" ht="18" customHeight="1" x14ac:dyDescent="0.25">
      <c r="A11" s="63" t="s">
        <v>9</v>
      </c>
      <c r="B11" s="64" t="s">
        <v>10</v>
      </c>
      <c r="C11" s="65"/>
      <c r="D11" s="66">
        <f>1012701657.42/1000</f>
        <v>1012701.6574199999</v>
      </c>
      <c r="E11" s="66">
        <v>500</v>
      </c>
      <c r="F11" s="44"/>
    </row>
    <row r="12" spans="1:6" ht="18" customHeight="1" x14ac:dyDescent="0.25">
      <c r="A12" s="63" t="s">
        <v>11</v>
      </c>
      <c r="B12" s="64" t="s">
        <v>12</v>
      </c>
      <c r="C12" s="65"/>
      <c r="D12" s="66">
        <v>0</v>
      </c>
      <c r="E12" s="66">
        <v>568840.05000000005</v>
      </c>
      <c r="F12" s="44"/>
    </row>
    <row r="13" spans="1:6" ht="18" customHeight="1" x14ac:dyDescent="0.25">
      <c r="A13" s="59" t="s">
        <v>13</v>
      </c>
      <c r="B13" s="60" t="s">
        <v>14</v>
      </c>
      <c r="C13" s="61" t="s">
        <v>15</v>
      </c>
      <c r="D13" s="62">
        <f>SUM(D14:D18)</f>
        <v>0</v>
      </c>
      <c r="E13" s="62">
        <f>SUM(E14:E18)</f>
        <v>0</v>
      </c>
      <c r="F13" s="44"/>
    </row>
    <row r="14" spans="1:6" ht="18" customHeight="1" x14ac:dyDescent="0.25">
      <c r="A14" s="68" t="s">
        <v>16</v>
      </c>
      <c r="B14" s="64" t="s">
        <v>17</v>
      </c>
      <c r="C14" s="65"/>
      <c r="D14" s="66"/>
      <c r="E14" s="66"/>
      <c r="F14" s="44"/>
    </row>
    <row r="15" spans="1:6" ht="18" customHeight="1" x14ac:dyDescent="0.25">
      <c r="A15" s="68" t="s">
        <v>18</v>
      </c>
      <c r="B15" s="64" t="s">
        <v>19</v>
      </c>
      <c r="C15" s="65"/>
      <c r="D15" s="66"/>
      <c r="E15" s="66"/>
      <c r="F15" s="44"/>
    </row>
    <row r="16" spans="1:6" ht="18" customHeight="1" x14ac:dyDescent="0.25">
      <c r="A16" s="69" t="s">
        <v>20</v>
      </c>
      <c r="B16" s="64" t="s">
        <v>21</v>
      </c>
      <c r="C16" s="65"/>
      <c r="D16" s="66"/>
      <c r="E16" s="66"/>
      <c r="F16" s="44"/>
    </row>
    <row r="17" spans="1:6" ht="18" customHeight="1" x14ac:dyDescent="0.25">
      <c r="A17" s="68" t="s">
        <v>22</v>
      </c>
      <c r="B17" s="64" t="s">
        <v>23</v>
      </c>
      <c r="C17" s="65"/>
      <c r="D17" s="66"/>
      <c r="E17" s="66"/>
      <c r="F17" s="44"/>
    </row>
    <row r="18" spans="1:6" ht="18" customHeight="1" x14ac:dyDescent="0.25">
      <c r="A18" s="68" t="s">
        <v>24</v>
      </c>
      <c r="B18" s="64" t="s">
        <v>25</v>
      </c>
      <c r="C18" s="65"/>
      <c r="D18" s="66"/>
      <c r="E18" s="66"/>
      <c r="F18" s="44"/>
    </row>
    <row r="19" spans="1:6" ht="18" customHeight="1" x14ac:dyDescent="0.25">
      <c r="A19" s="59" t="s">
        <v>26</v>
      </c>
      <c r="B19" s="60" t="s">
        <v>27</v>
      </c>
      <c r="C19" s="61" t="s">
        <v>28</v>
      </c>
      <c r="D19" s="62">
        <f>SUM(D20:D34)</f>
        <v>2421.80042</v>
      </c>
      <c r="E19" s="62">
        <f>SUM(E20:E34)</f>
        <v>17063.399999999994</v>
      </c>
      <c r="F19" s="44"/>
    </row>
    <row r="20" spans="1:6" ht="18" customHeight="1" x14ac:dyDescent="0.25">
      <c r="A20" s="68" t="s">
        <v>29</v>
      </c>
      <c r="B20" s="64" t="s">
        <v>30</v>
      </c>
      <c r="C20" s="65"/>
      <c r="D20" s="66"/>
      <c r="E20" s="66"/>
      <c r="F20" s="44"/>
    </row>
    <row r="21" spans="1:6" ht="18" customHeight="1" x14ac:dyDescent="0.25">
      <c r="A21" s="68" t="s">
        <v>31</v>
      </c>
      <c r="B21" s="64" t="s">
        <v>32</v>
      </c>
      <c r="C21" s="65"/>
      <c r="D21" s="66"/>
      <c r="E21" s="66"/>
      <c r="F21" s="44"/>
    </row>
    <row r="22" spans="1:6" ht="18" customHeight="1" x14ac:dyDescent="0.25">
      <c r="A22" s="68" t="s">
        <v>33</v>
      </c>
      <c r="B22" s="64" t="s">
        <v>34</v>
      </c>
      <c r="C22" s="65"/>
      <c r="D22" s="66"/>
      <c r="E22" s="66">
        <v>7492.64</v>
      </c>
      <c r="F22" s="44"/>
    </row>
    <row r="23" spans="1:6" ht="18" customHeight="1" x14ac:dyDescent="0.25">
      <c r="A23" s="68" t="s">
        <v>35</v>
      </c>
      <c r="B23" s="64" t="s">
        <v>36</v>
      </c>
      <c r="C23" s="65"/>
      <c r="D23" s="66">
        <f>6033282.99/1000</f>
        <v>6033.2829900000006</v>
      </c>
      <c r="E23" s="66"/>
      <c r="F23" s="44"/>
    </row>
    <row r="24" spans="1:6" ht="18" customHeight="1" x14ac:dyDescent="0.25">
      <c r="A24" s="68" t="s">
        <v>37</v>
      </c>
      <c r="B24" s="64" t="s">
        <v>38</v>
      </c>
      <c r="C24" s="65"/>
      <c r="D24" s="66"/>
      <c r="E24" s="66"/>
      <c r="F24" s="44"/>
    </row>
    <row r="25" spans="1:6" ht="18" customHeight="1" x14ac:dyDescent="0.25">
      <c r="A25" s="68" t="s">
        <v>39</v>
      </c>
      <c r="B25" s="64" t="s">
        <v>40</v>
      </c>
      <c r="C25" s="65"/>
      <c r="D25" s="66"/>
      <c r="E25" s="66"/>
      <c r="F25" s="44"/>
    </row>
    <row r="26" spans="1:6" ht="18" customHeight="1" x14ac:dyDescent="0.25">
      <c r="A26" s="69" t="s">
        <v>41</v>
      </c>
      <c r="B26" s="64" t="s">
        <v>42</v>
      </c>
      <c r="C26" s="65"/>
      <c r="D26" s="66"/>
      <c r="E26" s="66"/>
      <c r="F26" s="44"/>
    </row>
    <row r="27" spans="1:6" ht="18" customHeight="1" x14ac:dyDescent="0.25">
      <c r="A27" s="70" t="s">
        <v>43</v>
      </c>
      <c r="B27" s="64" t="s">
        <v>44</v>
      </c>
      <c r="C27" s="65"/>
      <c r="D27" s="66">
        <f>-13542568.74/1000</f>
        <v>-13542.568740000001</v>
      </c>
      <c r="E27" s="66">
        <v>80130.66</v>
      </c>
      <c r="F27" s="44"/>
    </row>
    <row r="28" spans="1:6" ht="18" customHeight="1" x14ac:dyDescent="0.25">
      <c r="A28" s="68" t="s">
        <v>45</v>
      </c>
      <c r="B28" s="64" t="s">
        <v>46</v>
      </c>
      <c r="C28" s="65"/>
      <c r="D28" s="66"/>
      <c r="E28" s="66"/>
      <c r="F28" s="44"/>
    </row>
    <row r="29" spans="1:6" ht="18" customHeight="1" x14ac:dyDescent="0.25">
      <c r="A29" s="68" t="s">
        <v>47</v>
      </c>
      <c r="B29" s="64" t="s">
        <v>48</v>
      </c>
      <c r="C29" s="65"/>
      <c r="D29" s="66"/>
      <c r="E29" s="66"/>
      <c r="F29" s="44"/>
    </row>
    <row r="30" spans="1:6" ht="18" customHeight="1" x14ac:dyDescent="0.25">
      <c r="A30" s="68" t="s">
        <v>49</v>
      </c>
      <c r="B30" s="64" t="s">
        <v>50</v>
      </c>
      <c r="C30" s="65"/>
      <c r="D30" s="66"/>
      <c r="E30" s="66"/>
      <c r="F30" s="44"/>
    </row>
    <row r="31" spans="1:6" ht="18" customHeight="1" x14ac:dyDescent="0.25">
      <c r="A31" s="68" t="s">
        <v>51</v>
      </c>
      <c r="B31" s="64" t="s">
        <v>52</v>
      </c>
      <c r="C31" s="65"/>
      <c r="D31" s="66"/>
      <c r="E31" s="66"/>
      <c r="F31" s="44"/>
    </row>
    <row r="32" spans="1:6" ht="18" customHeight="1" x14ac:dyDescent="0.25">
      <c r="A32" s="68" t="s">
        <v>53</v>
      </c>
      <c r="B32" s="64" t="s">
        <v>54</v>
      </c>
      <c r="C32" s="65"/>
      <c r="D32" s="66"/>
      <c r="E32" s="66"/>
      <c r="F32" s="44"/>
    </row>
    <row r="33" spans="1:6" ht="18" customHeight="1" x14ac:dyDescent="0.25">
      <c r="A33" s="68" t="s">
        <v>55</v>
      </c>
      <c r="B33" s="64" t="s">
        <v>56</v>
      </c>
      <c r="C33" s="65"/>
      <c r="D33" s="66">
        <f>9570760/1000</f>
        <v>9570.76</v>
      </c>
      <c r="E33" s="66">
        <v>9570.76</v>
      </c>
      <c r="F33" s="44"/>
    </row>
    <row r="34" spans="1:6" ht="18" customHeight="1" x14ac:dyDescent="0.25">
      <c r="A34" s="68" t="s">
        <v>57</v>
      </c>
      <c r="B34" s="64" t="s">
        <v>58</v>
      </c>
      <c r="C34" s="65"/>
      <c r="D34" s="66">
        <f>360326.17/1000</f>
        <v>360.32616999999999</v>
      </c>
      <c r="E34" s="66">
        <v>-80130.66</v>
      </c>
      <c r="F34" s="44"/>
    </row>
    <row r="35" spans="1:6" ht="18" customHeight="1" x14ac:dyDescent="0.25">
      <c r="A35" s="59" t="s">
        <v>59</v>
      </c>
      <c r="B35" s="60" t="s">
        <v>60</v>
      </c>
      <c r="C35" s="61" t="s">
        <v>61</v>
      </c>
      <c r="D35" s="62">
        <f>SUM(D36:D40)</f>
        <v>3686.87291</v>
      </c>
      <c r="E35" s="62">
        <f>SUM(E36:E40)</f>
        <v>1559.63</v>
      </c>
      <c r="F35" s="44"/>
    </row>
    <row r="36" spans="1:6" ht="18" customHeight="1" x14ac:dyDescent="0.25">
      <c r="A36" s="68" t="s">
        <v>62</v>
      </c>
      <c r="B36" s="64" t="s">
        <v>63</v>
      </c>
      <c r="C36" s="65"/>
      <c r="D36" s="66">
        <f>3686872.91/1000</f>
        <v>3686.87291</v>
      </c>
      <c r="E36" s="66">
        <v>1559.63</v>
      </c>
      <c r="F36" s="44"/>
    </row>
    <row r="37" spans="1:6" ht="18" customHeight="1" x14ac:dyDescent="0.25">
      <c r="A37" s="68" t="s">
        <v>64</v>
      </c>
      <c r="B37" s="64" t="s">
        <v>65</v>
      </c>
      <c r="C37" s="65"/>
      <c r="D37" s="66"/>
      <c r="E37" s="66"/>
      <c r="F37" s="44"/>
    </row>
    <row r="38" spans="1:6" ht="18" customHeight="1" x14ac:dyDescent="0.25">
      <c r="A38" s="68" t="s">
        <v>66</v>
      </c>
      <c r="B38" s="64" t="s">
        <v>67</v>
      </c>
      <c r="C38" s="65"/>
      <c r="D38" s="66"/>
      <c r="E38" s="66"/>
      <c r="F38" s="44"/>
    </row>
    <row r="39" spans="1:6" ht="18" customHeight="1" x14ac:dyDescent="0.25">
      <c r="A39" s="68" t="s">
        <v>68</v>
      </c>
      <c r="B39" s="64" t="s">
        <v>69</v>
      </c>
      <c r="C39" s="65"/>
      <c r="D39" s="66"/>
      <c r="E39" s="66"/>
      <c r="F39" s="44"/>
    </row>
    <row r="40" spans="1:6" ht="18" customHeight="1" x14ac:dyDescent="0.25">
      <c r="A40" s="68" t="s">
        <v>70</v>
      </c>
      <c r="B40" s="64" t="s">
        <v>71</v>
      </c>
      <c r="C40" s="65"/>
      <c r="D40" s="66"/>
      <c r="E40" s="66"/>
      <c r="F40" s="44"/>
    </row>
    <row r="41" spans="1:6" ht="18" customHeight="1" x14ac:dyDescent="0.25">
      <c r="A41" s="59" t="s">
        <v>72</v>
      </c>
      <c r="B41" s="60" t="s">
        <v>73</v>
      </c>
      <c r="C41" s="61" t="s">
        <v>74</v>
      </c>
      <c r="D41" s="62">
        <f>SUM(D42:D44)</f>
        <v>1666.7926200000002</v>
      </c>
      <c r="E41" s="62">
        <f>SUM(E42:E44)</f>
        <v>39.770000000000003</v>
      </c>
      <c r="F41" s="44"/>
    </row>
    <row r="42" spans="1:6" ht="18" customHeight="1" x14ac:dyDescent="0.25">
      <c r="A42" s="68" t="s">
        <v>75</v>
      </c>
      <c r="B42" s="64" t="s">
        <v>76</v>
      </c>
      <c r="C42" s="65"/>
      <c r="D42" s="66">
        <v>32.344000000000001</v>
      </c>
      <c r="E42" s="66">
        <v>32.340000000000003</v>
      </c>
      <c r="F42" s="44"/>
    </row>
    <row r="43" spans="1:6" ht="18" customHeight="1" x14ac:dyDescent="0.25">
      <c r="A43" s="68" t="s">
        <v>77</v>
      </c>
      <c r="B43" s="64" t="s">
        <v>78</v>
      </c>
      <c r="C43" s="65"/>
      <c r="D43" s="66">
        <f>1634448.62/1000</f>
        <v>1634.4486200000001</v>
      </c>
      <c r="E43" s="66">
        <v>7.43</v>
      </c>
      <c r="F43" s="44"/>
    </row>
    <row r="44" spans="1:6" ht="18" customHeight="1" x14ac:dyDescent="0.25">
      <c r="A44" s="68" t="s">
        <v>79</v>
      </c>
      <c r="B44" s="64" t="s">
        <v>80</v>
      </c>
      <c r="C44" s="65"/>
      <c r="D44" s="66"/>
      <c r="E44" s="66"/>
      <c r="F44" s="44"/>
    </row>
    <row r="45" spans="1:6" ht="18" customHeight="1" x14ac:dyDescent="0.25">
      <c r="A45" s="74"/>
      <c r="B45" s="56" t="s">
        <v>81</v>
      </c>
      <c r="C45" s="57"/>
      <c r="D45" s="76">
        <f>+D41++D35+D19+D13+D10</f>
        <v>1020477.1233699999</v>
      </c>
      <c r="E45" s="76">
        <f>+E41++E35+E19+E13+E10</f>
        <v>588002.85000000009</v>
      </c>
      <c r="F45" s="44"/>
    </row>
    <row r="46" spans="1:6" ht="18" customHeight="1" x14ac:dyDescent="0.25">
      <c r="A46" s="86"/>
      <c r="B46" s="87"/>
      <c r="C46" s="88"/>
      <c r="D46" s="89"/>
      <c r="E46" s="89"/>
      <c r="F46" s="44"/>
    </row>
    <row r="47" spans="1:6" ht="18" customHeight="1" x14ac:dyDescent="0.25">
      <c r="A47" s="55" t="s">
        <v>82</v>
      </c>
      <c r="B47" s="56" t="s">
        <v>83</v>
      </c>
      <c r="C47" s="57"/>
      <c r="D47" s="58"/>
      <c r="E47" s="58"/>
      <c r="F47" s="44"/>
    </row>
    <row r="48" spans="1:6" ht="18" customHeight="1" x14ac:dyDescent="0.25">
      <c r="A48" s="59" t="s">
        <v>84</v>
      </c>
      <c r="B48" s="60" t="s">
        <v>85</v>
      </c>
      <c r="C48" s="61" t="s">
        <v>86</v>
      </c>
      <c r="D48" s="62">
        <f>SUM(D49:D53)</f>
        <v>0</v>
      </c>
      <c r="E48" s="62">
        <f>SUM(E49:E53)</f>
        <v>0</v>
      </c>
      <c r="F48" s="44"/>
    </row>
    <row r="49" spans="1:6" ht="18" customHeight="1" x14ac:dyDescent="0.25">
      <c r="A49" s="68" t="s">
        <v>87</v>
      </c>
      <c r="B49" s="64" t="s">
        <v>88</v>
      </c>
      <c r="C49" s="65"/>
      <c r="D49" s="66"/>
      <c r="E49" s="66"/>
      <c r="F49" s="44"/>
    </row>
    <row r="50" spans="1:6" ht="18" customHeight="1" x14ac:dyDescent="0.25">
      <c r="A50" s="68" t="s">
        <v>89</v>
      </c>
      <c r="B50" s="64" t="s">
        <v>90</v>
      </c>
      <c r="C50" s="65"/>
      <c r="D50" s="66"/>
      <c r="E50" s="66"/>
      <c r="F50" s="44"/>
    </row>
    <row r="51" spans="1:6" ht="18" customHeight="1" x14ac:dyDescent="0.25">
      <c r="A51" s="69" t="s">
        <v>91</v>
      </c>
      <c r="B51" s="64" t="s">
        <v>92</v>
      </c>
      <c r="C51" s="65"/>
      <c r="D51" s="66"/>
      <c r="E51" s="66"/>
      <c r="F51" s="44"/>
    </row>
    <row r="52" spans="1:6" ht="18" customHeight="1" x14ac:dyDescent="0.25">
      <c r="A52" s="68" t="s">
        <v>93</v>
      </c>
      <c r="B52" s="64" t="s">
        <v>94</v>
      </c>
      <c r="C52" s="65"/>
      <c r="D52" s="66"/>
      <c r="E52" s="66"/>
      <c r="F52" s="44"/>
    </row>
    <row r="53" spans="1:6" ht="18" customHeight="1" x14ac:dyDescent="0.25">
      <c r="A53" s="68" t="s">
        <v>95</v>
      </c>
      <c r="B53" s="64" t="s">
        <v>96</v>
      </c>
      <c r="C53" s="65"/>
      <c r="D53" s="66"/>
      <c r="E53" s="66"/>
      <c r="F53" s="44"/>
    </row>
    <row r="54" spans="1:6" ht="18" customHeight="1" x14ac:dyDescent="0.25">
      <c r="A54" s="59" t="s">
        <v>97</v>
      </c>
      <c r="B54" s="60" t="s">
        <v>98</v>
      </c>
      <c r="C54" s="61" t="s">
        <v>99</v>
      </c>
      <c r="D54" s="62">
        <f>SUM(D55:D61)</f>
        <v>0</v>
      </c>
      <c r="E54" s="62">
        <f>SUM(E55:E61)</f>
        <v>0</v>
      </c>
      <c r="F54" s="44"/>
    </row>
    <row r="55" spans="1:6" ht="18" customHeight="1" x14ac:dyDescent="0.25">
      <c r="A55" s="68" t="s">
        <v>100</v>
      </c>
      <c r="B55" s="64" t="s">
        <v>101</v>
      </c>
      <c r="C55" s="65"/>
      <c r="D55" s="66"/>
      <c r="E55" s="66"/>
      <c r="F55" s="44"/>
    </row>
    <row r="56" spans="1:6" ht="18" customHeight="1" x14ac:dyDescent="0.25">
      <c r="A56" s="69" t="s">
        <v>102</v>
      </c>
      <c r="B56" s="64" t="s">
        <v>103</v>
      </c>
      <c r="C56" s="65"/>
      <c r="D56" s="66"/>
      <c r="E56" s="66"/>
      <c r="F56" s="44"/>
    </row>
    <row r="57" spans="1:6" ht="18" customHeight="1" x14ac:dyDescent="0.25">
      <c r="A57" s="70" t="s">
        <v>104</v>
      </c>
      <c r="B57" s="64" t="s">
        <v>105</v>
      </c>
      <c r="C57" s="65"/>
      <c r="D57" s="66"/>
      <c r="E57" s="66"/>
      <c r="F57" s="44"/>
    </row>
    <row r="58" spans="1:6" ht="18" customHeight="1" x14ac:dyDescent="0.25">
      <c r="A58" s="68" t="s">
        <v>106</v>
      </c>
      <c r="B58" s="64" t="s">
        <v>107</v>
      </c>
      <c r="C58" s="65"/>
      <c r="D58" s="66"/>
      <c r="E58" s="66"/>
      <c r="F58" s="44"/>
    </row>
    <row r="59" spans="1:6" ht="18" customHeight="1" x14ac:dyDescent="0.25">
      <c r="A59" s="68" t="s">
        <v>108</v>
      </c>
      <c r="B59" s="64" t="s">
        <v>109</v>
      </c>
      <c r="C59" s="65"/>
      <c r="D59" s="66"/>
      <c r="E59" s="66"/>
      <c r="F59" s="44"/>
    </row>
    <row r="60" spans="1:6" ht="18" customHeight="1" x14ac:dyDescent="0.25">
      <c r="A60" s="68" t="s">
        <v>110</v>
      </c>
      <c r="B60" s="64" t="s">
        <v>111</v>
      </c>
      <c r="C60" s="65"/>
      <c r="D60" s="66"/>
      <c r="E60" s="66"/>
      <c r="F60" s="44"/>
    </row>
    <row r="61" spans="1:6" ht="18" customHeight="1" x14ac:dyDescent="0.25">
      <c r="A61" s="68" t="s">
        <v>112</v>
      </c>
      <c r="B61" s="64" t="s">
        <v>113</v>
      </c>
      <c r="C61" s="65"/>
      <c r="D61" s="66"/>
      <c r="E61" s="66"/>
      <c r="F61" s="44"/>
    </row>
    <row r="62" spans="1:6" ht="18" customHeight="1" x14ac:dyDescent="0.25">
      <c r="A62" s="59" t="s">
        <v>114</v>
      </c>
      <c r="B62" s="60" t="s">
        <v>115</v>
      </c>
      <c r="C62" s="61" t="s">
        <v>116</v>
      </c>
      <c r="D62" s="62">
        <f>SUM(D63:D71)</f>
        <v>1677207.0359</v>
      </c>
      <c r="E62" s="62">
        <f>SUM(E63:E71)</f>
        <v>1466190.17</v>
      </c>
      <c r="F62" s="44"/>
    </row>
    <row r="63" spans="1:6" ht="18" customHeight="1" x14ac:dyDescent="0.25">
      <c r="A63" s="63" t="s">
        <v>117</v>
      </c>
      <c r="B63" s="64" t="s">
        <v>118</v>
      </c>
      <c r="C63" s="65"/>
      <c r="D63" s="66">
        <f>1645094486/1000</f>
        <v>1645094.486</v>
      </c>
      <c r="E63" s="66">
        <v>1466190.17</v>
      </c>
      <c r="F63" s="44"/>
    </row>
    <row r="64" spans="1:6" ht="18" customHeight="1" x14ac:dyDescent="0.25">
      <c r="A64" s="63" t="s">
        <v>119</v>
      </c>
      <c r="B64" s="64" t="s">
        <v>120</v>
      </c>
      <c r="C64" s="65"/>
      <c r="D64" s="66"/>
      <c r="E64" s="66"/>
      <c r="F64" s="44"/>
    </row>
    <row r="65" spans="1:6" ht="18" customHeight="1" x14ac:dyDescent="0.25">
      <c r="A65" s="63" t="s">
        <v>121</v>
      </c>
      <c r="B65" s="64" t="s">
        <v>122</v>
      </c>
      <c r="C65" s="65"/>
      <c r="D65" s="66"/>
      <c r="E65" s="66"/>
      <c r="F65" s="44"/>
    </row>
    <row r="66" spans="1:6" ht="18" customHeight="1" x14ac:dyDescent="0.25">
      <c r="A66" s="63" t="s">
        <v>123</v>
      </c>
      <c r="B66" s="64" t="s">
        <v>124</v>
      </c>
      <c r="C66" s="65"/>
      <c r="D66" s="66"/>
      <c r="E66" s="66"/>
      <c r="F66" s="44"/>
    </row>
    <row r="67" spans="1:6" ht="18" customHeight="1" x14ac:dyDescent="0.25">
      <c r="A67" s="63" t="s">
        <v>125</v>
      </c>
      <c r="B67" s="64" t="s">
        <v>126</v>
      </c>
      <c r="C67" s="65"/>
      <c r="D67" s="66"/>
      <c r="E67" s="66"/>
      <c r="F67" s="44"/>
    </row>
    <row r="68" spans="1:6" ht="18" customHeight="1" x14ac:dyDescent="0.25">
      <c r="A68" s="63" t="s">
        <v>127</v>
      </c>
      <c r="B68" s="64" t="s">
        <v>128</v>
      </c>
      <c r="C68" s="65"/>
      <c r="D68" s="66"/>
      <c r="E68" s="66"/>
      <c r="F68" s="44"/>
    </row>
    <row r="69" spans="1:6" ht="18" customHeight="1" x14ac:dyDescent="0.25">
      <c r="A69" s="63" t="s">
        <v>129</v>
      </c>
      <c r="B69" s="64" t="s">
        <v>130</v>
      </c>
      <c r="C69" s="65"/>
      <c r="D69" s="66"/>
      <c r="E69" s="66"/>
      <c r="F69" s="44"/>
    </row>
    <row r="70" spans="1:6" ht="18" customHeight="1" x14ac:dyDescent="0.25">
      <c r="A70" s="68" t="s">
        <v>131</v>
      </c>
      <c r="B70" s="64" t="s">
        <v>132</v>
      </c>
      <c r="C70" s="65"/>
      <c r="D70" s="66">
        <f>32112549.9/1000</f>
        <v>32112.549899999998</v>
      </c>
      <c r="E70" s="66"/>
      <c r="F70" s="44"/>
    </row>
    <row r="71" spans="1:6" ht="18" customHeight="1" x14ac:dyDescent="0.25">
      <c r="A71" s="63" t="s">
        <v>133</v>
      </c>
      <c r="B71" s="64" t="s">
        <v>134</v>
      </c>
      <c r="C71" s="65"/>
      <c r="D71" s="66"/>
      <c r="E71" s="66"/>
      <c r="F71" s="44"/>
    </row>
    <row r="72" spans="1:6" ht="18" customHeight="1" x14ac:dyDescent="0.25">
      <c r="A72" s="59" t="s">
        <v>135</v>
      </c>
      <c r="B72" s="60" t="s">
        <v>136</v>
      </c>
      <c r="C72" s="61" t="s">
        <v>137</v>
      </c>
      <c r="D72" s="62">
        <f>SUM(D73:D78)</f>
        <v>0</v>
      </c>
      <c r="E72" s="62">
        <f>SUM(E73:E78)</f>
        <v>0</v>
      </c>
      <c r="F72" s="44"/>
    </row>
    <row r="73" spans="1:6" ht="18" customHeight="1" x14ac:dyDescent="0.25">
      <c r="A73" s="63" t="s">
        <v>138</v>
      </c>
      <c r="B73" s="64" t="s">
        <v>139</v>
      </c>
      <c r="C73" s="65"/>
      <c r="D73" s="66"/>
      <c r="E73" s="66"/>
      <c r="F73" s="44"/>
    </row>
    <row r="74" spans="1:6" ht="18" customHeight="1" x14ac:dyDescent="0.25">
      <c r="A74" s="63" t="s">
        <v>140</v>
      </c>
      <c r="B74" s="64" t="s">
        <v>141</v>
      </c>
      <c r="C74" s="65"/>
      <c r="D74" s="66"/>
      <c r="E74" s="66"/>
      <c r="F74" s="44"/>
    </row>
    <row r="75" spans="1:6" ht="18" customHeight="1" x14ac:dyDescent="0.25">
      <c r="A75" s="63" t="s">
        <v>142</v>
      </c>
      <c r="B75" s="64" t="s">
        <v>143</v>
      </c>
      <c r="C75" s="65"/>
      <c r="D75" s="66"/>
      <c r="E75" s="66"/>
      <c r="F75" s="44"/>
    </row>
    <row r="76" spans="1:6" ht="18" customHeight="1" x14ac:dyDescent="0.25">
      <c r="A76" s="63" t="s">
        <v>144</v>
      </c>
      <c r="B76" s="64" t="s">
        <v>145</v>
      </c>
      <c r="C76" s="65"/>
      <c r="D76" s="66"/>
      <c r="E76" s="66"/>
      <c r="F76" s="44"/>
    </row>
    <row r="77" spans="1:6" ht="18" customHeight="1" x14ac:dyDescent="0.25">
      <c r="A77" s="68" t="s">
        <v>146</v>
      </c>
      <c r="B77" s="64" t="s">
        <v>147</v>
      </c>
      <c r="C77" s="65"/>
      <c r="D77" s="66"/>
      <c r="E77" s="66"/>
      <c r="F77" s="44"/>
    </row>
    <row r="78" spans="1:6" ht="18" customHeight="1" x14ac:dyDescent="0.25">
      <c r="A78" s="63" t="s">
        <v>148</v>
      </c>
      <c r="B78" s="64" t="s">
        <v>149</v>
      </c>
      <c r="C78" s="65"/>
      <c r="D78" s="66"/>
      <c r="E78" s="66"/>
      <c r="F78" s="44"/>
    </row>
    <row r="79" spans="1:6" ht="18" customHeight="1" x14ac:dyDescent="0.25">
      <c r="A79" s="59" t="s">
        <v>150</v>
      </c>
      <c r="B79" s="60" t="s">
        <v>151</v>
      </c>
      <c r="C79" s="61" t="s">
        <v>152</v>
      </c>
      <c r="D79" s="62">
        <f>SUM(D80:D83)</f>
        <v>537368.78914000001</v>
      </c>
      <c r="E79" s="62">
        <f>SUM(E80:E83)</f>
        <v>605488.54</v>
      </c>
      <c r="F79" s="44"/>
    </row>
    <row r="80" spans="1:6" ht="18" customHeight="1" x14ac:dyDescent="0.25">
      <c r="A80" s="68" t="s">
        <v>153</v>
      </c>
      <c r="B80" s="64" t="s">
        <v>154</v>
      </c>
      <c r="C80" s="65"/>
      <c r="D80" s="66"/>
      <c r="E80" s="66"/>
      <c r="F80" s="44"/>
    </row>
    <row r="81" spans="1:6" ht="18" customHeight="1" x14ac:dyDescent="0.25">
      <c r="A81" s="68" t="s">
        <v>155</v>
      </c>
      <c r="B81" s="64" t="s">
        <v>156</v>
      </c>
      <c r="C81" s="65"/>
      <c r="D81" s="66"/>
      <c r="E81" s="66">
        <v>605488.54</v>
      </c>
      <c r="F81" s="44"/>
    </row>
    <row r="82" spans="1:6" ht="18" customHeight="1" x14ac:dyDescent="0.25">
      <c r="A82" s="68" t="s">
        <v>157</v>
      </c>
      <c r="B82" s="64" t="s">
        <v>158</v>
      </c>
      <c r="C82" s="65"/>
      <c r="D82" s="66"/>
      <c r="E82" s="66"/>
      <c r="F82" s="44"/>
    </row>
    <row r="83" spans="1:6" ht="18" customHeight="1" x14ac:dyDescent="0.25">
      <c r="A83" s="68" t="s">
        <v>159</v>
      </c>
      <c r="B83" s="64" t="s">
        <v>160</v>
      </c>
      <c r="C83" s="65"/>
      <c r="D83" s="66">
        <f>537368789.14/1000</f>
        <v>537368.78914000001</v>
      </c>
      <c r="E83" s="66"/>
      <c r="F83" s="44"/>
    </row>
    <row r="84" spans="1:6" ht="18" customHeight="1" x14ac:dyDescent="0.25">
      <c r="A84" s="59" t="s">
        <v>161</v>
      </c>
      <c r="B84" s="60" t="s">
        <v>162</v>
      </c>
      <c r="C84" s="61" t="s">
        <v>163</v>
      </c>
      <c r="D84" s="62">
        <f>SUM(D85:D87)</f>
        <v>3560.1257799999998</v>
      </c>
      <c r="E84" s="62">
        <f>SUM(E85:E87)</f>
        <v>8588.9</v>
      </c>
      <c r="F84" s="44"/>
    </row>
    <row r="85" spans="1:6" ht="18" customHeight="1" x14ac:dyDescent="0.25">
      <c r="A85" s="68" t="s">
        <v>164</v>
      </c>
      <c r="B85" s="64" t="s">
        <v>165</v>
      </c>
      <c r="C85" s="65"/>
      <c r="D85" s="66"/>
      <c r="E85" s="66"/>
      <c r="F85" s="44"/>
    </row>
    <row r="86" spans="1:6" ht="18" customHeight="1" x14ac:dyDescent="0.25">
      <c r="A86" s="68" t="s">
        <v>166</v>
      </c>
      <c r="B86" s="64" t="s">
        <v>167</v>
      </c>
      <c r="C86" s="65"/>
      <c r="D86" s="66"/>
      <c r="E86" s="66">
        <v>8588.9</v>
      </c>
      <c r="F86" s="44"/>
    </row>
    <row r="87" spans="1:6" ht="18" customHeight="1" x14ac:dyDescent="0.25">
      <c r="A87" s="68" t="s">
        <v>168</v>
      </c>
      <c r="B87" s="64" t="s">
        <v>169</v>
      </c>
      <c r="C87" s="65"/>
      <c r="D87" s="66">
        <f>3560125.78/1000</f>
        <v>3560.1257799999998</v>
      </c>
      <c r="E87" s="66"/>
      <c r="F87" s="44"/>
    </row>
    <row r="88" spans="1:6" ht="18" customHeight="1" x14ac:dyDescent="0.25">
      <c r="A88" s="74"/>
      <c r="B88" s="75" t="s">
        <v>170</v>
      </c>
      <c r="C88" s="57"/>
      <c r="D88" s="76">
        <f>+D84+D79+D72+D62+D54+D48</f>
        <v>2218135.9508199999</v>
      </c>
      <c r="E88" s="76">
        <f>+E84+E79+E72+E62+E54+E48</f>
        <v>2080267.6099999999</v>
      </c>
      <c r="F88" s="44"/>
    </row>
    <row r="89" spans="1:6" ht="18" customHeight="1" x14ac:dyDescent="0.25">
      <c r="A89" s="77"/>
      <c r="B89" s="52" t="s">
        <v>171</v>
      </c>
      <c r="C89" s="53"/>
      <c r="D89" s="78">
        <f>+D88+D45</f>
        <v>3238613.0741900001</v>
      </c>
      <c r="E89" s="78">
        <f>+E88+E45</f>
        <v>2668270.46</v>
      </c>
      <c r="F89" s="44"/>
    </row>
    <row r="90" spans="1:6" ht="18" customHeight="1" x14ac:dyDescent="0.25">
      <c r="A90" s="86"/>
      <c r="B90" s="87"/>
      <c r="C90" s="88"/>
      <c r="D90" s="89" t="s">
        <v>172</v>
      </c>
      <c r="E90" s="89" t="s">
        <v>172</v>
      </c>
      <c r="F90" s="43"/>
    </row>
    <row r="91" spans="1:6" ht="18" customHeight="1" x14ac:dyDescent="0.25">
      <c r="A91" s="81" t="s">
        <v>173</v>
      </c>
      <c r="B91" s="52" t="s">
        <v>174</v>
      </c>
      <c r="C91" s="82"/>
      <c r="D91" s="83"/>
      <c r="E91" s="83"/>
      <c r="F91" s="43"/>
    </row>
    <row r="92" spans="1:6" ht="18" customHeight="1" x14ac:dyDescent="0.25">
      <c r="A92" s="79" t="s">
        <v>175</v>
      </c>
      <c r="B92" s="56" t="s">
        <v>176</v>
      </c>
      <c r="C92" s="80"/>
      <c r="D92" s="76"/>
      <c r="E92" s="76"/>
      <c r="F92" s="43"/>
    </row>
    <row r="93" spans="1:6" ht="18" customHeight="1" x14ac:dyDescent="0.25">
      <c r="A93" s="59" t="s">
        <v>177</v>
      </c>
      <c r="B93" s="60" t="s">
        <v>178</v>
      </c>
      <c r="C93" s="61" t="s">
        <v>179</v>
      </c>
      <c r="D93" s="62">
        <f>SUM(D94:D103)</f>
        <v>295915.19851999998</v>
      </c>
      <c r="E93" s="62">
        <f>SUM(E94:E103)</f>
        <v>128065.42000000001</v>
      </c>
      <c r="F93" s="44"/>
    </row>
    <row r="94" spans="1:6" ht="18" customHeight="1" x14ac:dyDescent="0.25">
      <c r="A94" s="68" t="s">
        <v>180</v>
      </c>
      <c r="B94" s="64" t="s">
        <v>181</v>
      </c>
      <c r="C94" s="65"/>
      <c r="D94" s="66">
        <f>217025399.37/1000</f>
        <v>217025.39937</v>
      </c>
      <c r="E94" s="66">
        <v>104783.82</v>
      </c>
      <c r="F94" s="44"/>
    </row>
    <row r="95" spans="1:6" ht="18" customHeight="1" x14ac:dyDescent="0.25">
      <c r="A95" s="68" t="s">
        <v>182</v>
      </c>
      <c r="B95" s="64" t="s">
        <v>183</v>
      </c>
      <c r="C95" s="65"/>
      <c r="D95" s="66">
        <f>78889799.15/1000</f>
        <v>78889.799150000006</v>
      </c>
      <c r="E95" s="66">
        <v>23281.599999999999</v>
      </c>
      <c r="F95" s="44"/>
    </row>
    <row r="96" spans="1:6" ht="18" customHeight="1" x14ac:dyDescent="0.25">
      <c r="A96" s="68" t="s">
        <v>184</v>
      </c>
      <c r="B96" s="64" t="s">
        <v>185</v>
      </c>
      <c r="C96" s="65"/>
      <c r="D96" s="66"/>
      <c r="E96" s="66"/>
      <c r="F96" s="44"/>
    </row>
    <row r="97" spans="1:6" ht="18" customHeight="1" x14ac:dyDescent="0.25">
      <c r="A97" s="68" t="s">
        <v>186</v>
      </c>
      <c r="B97" s="64" t="s">
        <v>187</v>
      </c>
      <c r="C97" s="65"/>
      <c r="D97" s="66"/>
      <c r="E97" s="66"/>
      <c r="F97" s="44"/>
    </row>
    <row r="98" spans="1:6" ht="18" customHeight="1" x14ac:dyDescent="0.25">
      <c r="A98" s="68" t="s">
        <v>188</v>
      </c>
      <c r="B98" s="64" t="s">
        <v>189</v>
      </c>
      <c r="C98" s="65"/>
      <c r="D98" s="66"/>
      <c r="E98" s="66"/>
      <c r="F98" s="44"/>
    </row>
    <row r="99" spans="1:6" ht="18" customHeight="1" x14ac:dyDescent="0.25">
      <c r="A99" s="68" t="s">
        <v>190</v>
      </c>
      <c r="B99" s="64" t="s">
        <v>191</v>
      </c>
      <c r="C99" s="65"/>
      <c r="D99" s="66"/>
      <c r="E99" s="66"/>
      <c r="F99" s="44"/>
    </row>
    <row r="100" spans="1:6" ht="18" customHeight="1" x14ac:dyDescent="0.25">
      <c r="A100" s="68" t="s">
        <v>192</v>
      </c>
      <c r="B100" s="64" t="s">
        <v>193</v>
      </c>
      <c r="C100" s="65"/>
      <c r="D100" s="66"/>
      <c r="E100" s="66"/>
      <c r="F100" s="44"/>
    </row>
    <row r="101" spans="1:6" ht="18" customHeight="1" x14ac:dyDescent="0.25">
      <c r="A101" s="68" t="s">
        <v>194</v>
      </c>
      <c r="B101" s="64" t="s">
        <v>195</v>
      </c>
      <c r="C101" s="65"/>
      <c r="D101" s="66"/>
      <c r="E101" s="66"/>
      <c r="F101" s="44"/>
    </row>
    <row r="102" spans="1:6" ht="18" customHeight="1" x14ac:dyDescent="0.25">
      <c r="A102" s="71" t="s">
        <v>196</v>
      </c>
      <c r="B102" s="64" t="s">
        <v>197</v>
      </c>
      <c r="C102" s="65"/>
      <c r="D102" s="66"/>
      <c r="E102" s="66"/>
      <c r="F102" s="44"/>
    </row>
    <row r="103" spans="1:6" ht="18" customHeight="1" x14ac:dyDescent="0.25">
      <c r="A103" s="68" t="s">
        <v>198</v>
      </c>
      <c r="B103" s="64" t="s">
        <v>199</v>
      </c>
      <c r="C103" s="65"/>
      <c r="D103" s="66"/>
      <c r="E103" s="66"/>
      <c r="F103" s="44"/>
    </row>
    <row r="104" spans="1:6" ht="18" customHeight="1" x14ac:dyDescent="0.25">
      <c r="A104" s="59" t="s">
        <v>200</v>
      </c>
      <c r="B104" s="60" t="s">
        <v>201</v>
      </c>
      <c r="C104" s="61" t="s">
        <v>202</v>
      </c>
      <c r="D104" s="62">
        <f>SUM(D105:D109)</f>
        <v>0</v>
      </c>
      <c r="E104" s="62">
        <f>SUM(E105:E109)</f>
        <v>0</v>
      </c>
      <c r="F104" s="44"/>
    </row>
    <row r="105" spans="1:6" ht="18" customHeight="1" x14ac:dyDescent="0.25">
      <c r="A105" s="68" t="s">
        <v>203</v>
      </c>
      <c r="B105" s="64" t="s">
        <v>204</v>
      </c>
      <c r="C105" s="65"/>
      <c r="D105" s="66"/>
      <c r="E105" s="66"/>
      <c r="F105" s="44"/>
    </row>
    <row r="106" spans="1:6" ht="18" customHeight="1" x14ac:dyDescent="0.25">
      <c r="A106" s="68" t="s">
        <v>205</v>
      </c>
      <c r="B106" s="64" t="s">
        <v>206</v>
      </c>
      <c r="C106" s="65"/>
      <c r="D106" s="66"/>
      <c r="E106" s="66"/>
      <c r="F106" s="44"/>
    </row>
    <row r="107" spans="1:6" ht="18" customHeight="1" x14ac:dyDescent="0.25">
      <c r="A107" s="68" t="s">
        <v>207</v>
      </c>
      <c r="B107" s="64" t="s">
        <v>208</v>
      </c>
      <c r="C107" s="65"/>
      <c r="D107" s="66"/>
      <c r="E107" s="66"/>
      <c r="F107" s="44"/>
    </row>
    <row r="108" spans="1:6" ht="18" customHeight="1" x14ac:dyDescent="0.25">
      <c r="A108" s="68" t="s">
        <v>209</v>
      </c>
      <c r="B108" s="64" t="s">
        <v>210</v>
      </c>
      <c r="C108" s="65"/>
      <c r="D108" s="66"/>
      <c r="E108" s="66"/>
      <c r="F108" s="44"/>
    </row>
    <row r="109" spans="1:6" ht="18" customHeight="1" x14ac:dyDescent="0.25">
      <c r="A109" s="68" t="s">
        <v>211</v>
      </c>
      <c r="B109" s="64" t="s">
        <v>212</v>
      </c>
      <c r="C109" s="65"/>
      <c r="D109" s="66"/>
      <c r="E109" s="66"/>
      <c r="F109" s="44"/>
    </row>
    <row r="110" spans="1:6" ht="18" customHeight="1" x14ac:dyDescent="0.25">
      <c r="A110" s="59" t="s">
        <v>213</v>
      </c>
      <c r="B110" s="60" t="s">
        <v>214</v>
      </c>
      <c r="C110" s="61" t="s">
        <v>215</v>
      </c>
      <c r="D110" s="62">
        <f>SUM(D111:D114)</f>
        <v>4939.5089800000005</v>
      </c>
      <c r="E110" s="62">
        <f>SUM(E111:E114)</f>
        <v>3597.15</v>
      </c>
      <c r="F110" s="44"/>
    </row>
    <row r="111" spans="1:6" ht="18" customHeight="1" x14ac:dyDescent="0.25">
      <c r="A111" s="68" t="s">
        <v>216</v>
      </c>
      <c r="B111" s="64" t="s">
        <v>217</v>
      </c>
      <c r="C111" s="65"/>
      <c r="D111" s="66"/>
      <c r="E111" s="66"/>
      <c r="F111" s="44"/>
    </row>
    <row r="112" spans="1:6" ht="18" customHeight="1" x14ac:dyDescent="0.25">
      <c r="A112" s="68" t="s">
        <v>218</v>
      </c>
      <c r="B112" s="64" t="s">
        <v>219</v>
      </c>
      <c r="C112" s="65"/>
      <c r="D112" s="66"/>
      <c r="E112" s="66"/>
      <c r="F112" s="44"/>
    </row>
    <row r="113" spans="1:6" ht="18" customHeight="1" x14ac:dyDescent="0.25">
      <c r="A113" s="68" t="s">
        <v>220</v>
      </c>
      <c r="B113" s="64" t="s">
        <v>221</v>
      </c>
      <c r="C113" s="65"/>
      <c r="D113" s="66">
        <f>4939508.98/1000</f>
        <v>4939.5089800000005</v>
      </c>
      <c r="E113" s="66">
        <v>3597.15</v>
      </c>
      <c r="F113" s="44"/>
    </row>
    <row r="114" spans="1:6" ht="18" customHeight="1" x14ac:dyDescent="0.25">
      <c r="A114" s="68" t="s">
        <v>222</v>
      </c>
      <c r="B114" s="64" t="s">
        <v>223</v>
      </c>
      <c r="C114" s="65"/>
      <c r="D114" s="66"/>
      <c r="E114" s="66"/>
      <c r="F114" s="44"/>
    </row>
    <row r="115" spans="1:6" ht="18" customHeight="1" x14ac:dyDescent="0.25">
      <c r="A115" s="59" t="s">
        <v>224</v>
      </c>
      <c r="B115" s="60" t="s">
        <v>225</v>
      </c>
      <c r="C115" s="61" t="s">
        <v>226</v>
      </c>
      <c r="D115" s="62">
        <f>SUM(D116:D117)</f>
        <v>0</v>
      </c>
      <c r="E115" s="62">
        <f>SUM(E116:E117)</f>
        <v>0</v>
      </c>
      <c r="F115" s="44"/>
    </row>
    <row r="116" spans="1:6" ht="18" customHeight="1" x14ac:dyDescent="0.25">
      <c r="A116" s="68" t="s">
        <v>227</v>
      </c>
      <c r="B116" s="64" t="s">
        <v>228</v>
      </c>
      <c r="C116" s="65"/>
      <c r="D116" s="66"/>
      <c r="E116" s="66"/>
      <c r="F116" s="44"/>
    </row>
    <row r="117" spans="1:6" ht="18" customHeight="1" x14ac:dyDescent="0.25">
      <c r="A117" s="68" t="s">
        <v>229</v>
      </c>
      <c r="B117" s="64" t="s">
        <v>230</v>
      </c>
      <c r="C117" s="65"/>
      <c r="D117" s="66"/>
      <c r="E117" s="66"/>
      <c r="F117" s="44"/>
    </row>
    <row r="118" spans="1:6" ht="18" customHeight="1" x14ac:dyDescent="0.25">
      <c r="A118" s="59" t="s">
        <v>231</v>
      </c>
      <c r="B118" s="60" t="s">
        <v>232</v>
      </c>
      <c r="C118" s="61" t="s">
        <v>233</v>
      </c>
      <c r="D118" s="62">
        <f>SUM(D119:D121)</f>
        <v>13968.50063</v>
      </c>
      <c r="E118" s="62">
        <f>SUM(E119:E121)</f>
        <v>50944.39</v>
      </c>
      <c r="F118" s="44"/>
    </row>
    <row r="119" spans="1:6" ht="18" customHeight="1" x14ac:dyDescent="0.25">
      <c r="A119" s="68" t="s">
        <v>234</v>
      </c>
      <c r="B119" s="64" t="s">
        <v>235</v>
      </c>
      <c r="C119" s="65"/>
      <c r="D119" s="66">
        <f>13979275.74/1000</f>
        <v>13979.275740000001</v>
      </c>
      <c r="E119" s="66">
        <v>50944.39</v>
      </c>
      <c r="F119" s="44"/>
    </row>
    <row r="120" spans="1:6" ht="18" customHeight="1" x14ac:dyDescent="0.25">
      <c r="A120" s="69" t="s">
        <v>236</v>
      </c>
      <c r="B120" s="64" t="s">
        <v>237</v>
      </c>
      <c r="C120" s="65"/>
      <c r="D120" s="66"/>
      <c r="E120" s="66"/>
      <c r="F120" s="44"/>
    </row>
    <row r="121" spans="1:6" ht="18" customHeight="1" x14ac:dyDescent="0.25">
      <c r="A121" s="68" t="s">
        <v>238</v>
      </c>
      <c r="B121" s="64" t="s">
        <v>239</v>
      </c>
      <c r="C121" s="65"/>
      <c r="D121" s="66">
        <f>-10775.11/1000</f>
        <v>-10.77511</v>
      </c>
      <c r="E121" s="66"/>
      <c r="F121" s="44"/>
    </row>
    <row r="122" spans="1:6" ht="18" customHeight="1" x14ac:dyDescent="0.25">
      <c r="A122" s="74"/>
      <c r="B122" s="75" t="s">
        <v>240</v>
      </c>
      <c r="C122" s="57"/>
      <c r="D122" s="76">
        <f>+D118+D115+D110+D104+D93</f>
        <v>314823.20812999998</v>
      </c>
      <c r="E122" s="76">
        <f>+E118+E115+E110+E104+E93</f>
        <v>182606.96000000002</v>
      </c>
      <c r="F122" s="44"/>
    </row>
    <row r="123" spans="1:6" ht="18" customHeight="1" x14ac:dyDescent="0.25">
      <c r="A123" s="86"/>
      <c r="B123" s="87"/>
      <c r="C123" s="88"/>
      <c r="D123" s="89"/>
      <c r="E123" s="89"/>
      <c r="F123" s="43"/>
    </row>
    <row r="124" spans="1:6" ht="18" customHeight="1" x14ac:dyDescent="0.25">
      <c r="A124" s="79" t="s">
        <v>241</v>
      </c>
      <c r="B124" s="56" t="s">
        <v>242</v>
      </c>
      <c r="C124" s="80"/>
      <c r="D124" s="76"/>
      <c r="E124" s="76"/>
      <c r="F124" s="43"/>
    </row>
    <row r="125" spans="1:6" ht="18" customHeight="1" x14ac:dyDescent="0.25">
      <c r="A125" s="59" t="s">
        <v>243</v>
      </c>
      <c r="B125" s="60" t="s">
        <v>244</v>
      </c>
      <c r="C125" s="61" t="s">
        <v>245</v>
      </c>
      <c r="D125" s="62">
        <f>SUM(D126:D132)</f>
        <v>0</v>
      </c>
      <c r="E125" s="62">
        <f>SUM(E126:E132)</f>
        <v>0</v>
      </c>
      <c r="F125" s="44"/>
    </row>
    <row r="126" spans="1:6" ht="18" customHeight="1" x14ac:dyDescent="0.25">
      <c r="A126" s="68" t="s">
        <v>246</v>
      </c>
      <c r="B126" s="64" t="s">
        <v>247</v>
      </c>
      <c r="C126" s="65"/>
      <c r="D126" s="66"/>
      <c r="E126" s="66"/>
      <c r="F126" s="44"/>
    </row>
    <row r="127" spans="1:6" ht="18" customHeight="1" x14ac:dyDescent="0.25">
      <c r="A127" s="68" t="s">
        <v>248</v>
      </c>
      <c r="B127" s="64" t="s">
        <v>249</v>
      </c>
      <c r="C127" s="65"/>
      <c r="D127" s="66"/>
      <c r="E127" s="66"/>
      <c r="F127" s="44"/>
    </row>
    <row r="128" spans="1:6" ht="18" customHeight="1" x14ac:dyDescent="0.25">
      <c r="A128" s="68" t="s">
        <v>250</v>
      </c>
      <c r="B128" s="64" t="s">
        <v>251</v>
      </c>
      <c r="C128" s="65"/>
      <c r="D128" s="66"/>
      <c r="E128" s="66"/>
      <c r="F128" s="44"/>
    </row>
    <row r="129" spans="1:6" ht="18" customHeight="1" x14ac:dyDescent="0.25">
      <c r="A129" s="68" t="s">
        <v>252</v>
      </c>
      <c r="B129" s="64" t="s">
        <v>253</v>
      </c>
      <c r="C129" s="65"/>
      <c r="D129" s="66"/>
      <c r="E129" s="66"/>
      <c r="F129" s="44"/>
    </row>
    <row r="130" spans="1:6" ht="18" customHeight="1" x14ac:dyDescent="0.25">
      <c r="A130" s="68" t="s">
        <v>254</v>
      </c>
      <c r="B130" s="64" t="s">
        <v>255</v>
      </c>
      <c r="C130" s="65"/>
      <c r="D130" s="66"/>
      <c r="E130" s="66"/>
      <c r="F130" s="44"/>
    </row>
    <row r="131" spans="1:6" ht="18" customHeight="1" x14ac:dyDescent="0.25">
      <c r="A131" s="68" t="s">
        <v>256</v>
      </c>
      <c r="B131" s="64" t="s">
        <v>257</v>
      </c>
      <c r="C131" s="65"/>
      <c r="D131" s="66"/>
      <c r="E131" s="66"/>
      <c r="F131" s="44"/>
    </row>
    <row r="132" spans="1:6" ht="18" customHeight="1" x14ac:dyDescent="0.25">
      <c r="A132" s="68" t="s">
        <v>258</v>
      </c>
      <c r="B132" s="64" t="s">
        <v>259</v>
      </c>
      <c r="C132" s="65"/>
      <c r="D132" s="66"/>
      <c r="E132" s="66"/>
      <c r="F132" s="44"/>
    </row>
    <row r="133" spans="1:6" ht="18" customHeight="1" x14ac:dyDescent="0.25">
      <c r="A133" s="59" t="s">
        <v>260</v>
      </c>
      <c r="B133" s="60" t="s">
        <v>261</v>
      </c>
      <c r="C133" s="61" t="s">
        <v>262</v>
      </c>
      <c r="D133" s="62">
        <f>SUM(D134:D136)</f>
        <v>0</v>
      </c>
      <c r="E133" s="62">
        <f>SUM(E134:E136)</f>
        <v>0</v>
      </c>
      <c r="F133" s="44"/>
    </row>
    <row r="134" spans="1:6" ht="18" customHeight="1" x14ac:dyDescent="0.25">
      <c r="A134" s="68" t="s">
        <v>263</v>
      </c>
      <c r="B134" s="64" t="s">
        <v>264</v>
      </c>
      <c r="C134" s="65"/>
      <c r="D134" s="66"/>
      <c r="E134" s="66"/>
      <c r="F134" s="44"/>
    </row>
    <row r="135" spans="1:6" ht="18" customHeight="1" x14ac:dyDescent="0.25">
      <c r="A135" s="68" t="s">
        <v>265</v>
      </c>
      <c r="B135" s="64" t="s">
        <v>266</v>
      </c>
      <c r="C135" s="65"/>
      <c r="D135" s="66"/>
      <c r="E135" s="66"/>
      <c r="F135" s="44"/>
    </row>
    <row r="136" spans="1:6" ht="18" customHeight="1" x14ac:dyDescent="0.25">
      <c r="A136" s="68" t="s">
        <v>267</v>
      </c>
      <c r="B136" s="64" t="s">
        <v>268</v>
      </c>
      <c r="C136" s="65"/>
      <c r="D136" s="66"/>
      <c r="E136" s="66"/>
      <c r="F136" s="44"/>
    </row>
    <row r="137" spans="1:6" ht="18" customHeight="1" x14ac:dyDescent="0.25">
      <c r="A137" s="59" t="s">
        <v>269</v>
      </c>
      <c r="B137" s="60" t="s">
        <v>214</v>
      </c>
      <c r="C137" s="61" t="s">
        <v>270</v>
      </c>
      <c r="D137" s="62">
        <f>SUM(D138:D139)</f>
        <v>0</v>
      </c>
      <c r="E137" s="62">
        <f>SUM(E138:E139)</f>
        <v>0</v>
      </c>
      <c r="F137" s="44"/>
    </row>
    <row r="138" spans="1:6" ht="18" customHeight="1" x14ac:dyDescent="0.25">
      <c r="A138" s="68" t="s">
        <v>271</v>
      </c>
      <c r="B138" s="64" t="s">
        <v>217</v>
      </c>
      <c r="C138" s="65"/>
      <c r="D138" s="66"/>
      <c r="E138" s="66"/>
      <c r="F138" s="44"/>
    </row>
    <row r="139" spans="1:6" ht="18" customHeight="1" x14ac:dyDescent="0.25">
      <c r="A139" s="68" t="s">
        <v>272</v>
      </c>
      <c r="B139" s="64" t="s">
        <v>223</v>
      </c>
      <c r="C139" s="65"/>
      <c r="D139" s="66"/>
      <c r="E139" s="66"/>
      <c r="F139" s="44"/>
    </row>
    <row r="140" spans="1:6" ht="18" customHeight="1" x14ac:dyDescent="0.25">
      <c r="A140" s="59" t="s">
        <v>273</v>
      </c>
      <c r="B140" s="60" t="s">
        <v>274</v>
      </c>
      <c r="C140" s="61" t="s">
        <v>275</v>
      </c>
      <c r="D140" s="62">
        <f>SUM(D141:D142)</f>
        <v>0</v>
      </c>
      <c r="E140" s="62">
        <f>SUM(E141:E142)</f>
        <v>0</v>
      </c>
      <c r="F140" s="44"/>
    </row>
    <row r="141" spans="1:6" ht="18" customHeight="1" x14ac:dyDescent="0.25">
      <c r="A141" s="68" t="s">
        <v>276</v>
      </c>
      <c r="B141" s="64" t="s">
        <v>277</v>
      </c>
      <c r="C141" s="65"/>
      <c r="D141" s="66"/>
      <c r="E141" s="66"/>
      <c r="F141" s="44"/>
    </row>
    <row r="142" spans="1:6" ht="18" customHeight="1" x14ac:dyDescent="0.25">
      <c r="A142" s="68" t="s">
        <v>278</v>
      </c>
      <c r="B142" s="64" t="s">
        <v>279</v>
      </c>
      <c r="C142" s="65"/>
      <c r="D142" s="66"/>
      <c r="E142" s="66"/>
      <c r="F142" s="44"/>
    </row>
    <row r="143" spans="1:6" ht="18" customHeight="1" x14ac:dyDescent="0.25">
      <c r="A143" s="59" t="s">
        <v>280</v>
      </c>
      <c r="B143" s="60" t="s">
        <v>281</v>
      </c>
      <c r="C143" s="61" t="s">
        <v>282</v>
      </c>
      <c r="D143" s="62">
        <f>SUM(D144:D146)</f>
        <v>0</v>
      </c>
      <c r="E143" s="62">
        <f>SUM(E144:E146)</f>
        <v>0</v>
      </c>
      <c r="F143" s="44"/>
    </row>
    <row r="144" spans="1:6" ht="18" customHeight="1" x14ac:dyDescent="0.25">
      <c r="A144" s="68" t="s">
        <v>283</v>
      </c>
      <c r="B144" s="64" t="s">
        <v>284</v>
      </c>
      <c r="C144" s="65"/>
      <c r="D144" s="66"/>
      <c r="E144" s="66"/>
      <c r="F144" s="44"/>
    </row>
    <row r="145" spans="1:6" ht="18" customHeight="1" x14ac:dyDescent="0.25">
      <c r="A145" s="69" t="s">
        <v>285</v>
      </c>
      <c r="B145" s="64" t="s">
        <v>286</v>
      </c>
      <c r="C145" s="65"/>
      <c r="D145" s="66"/>
      <c r="E145" s="66"/>
      <c r="F145" s="44"/>
    </row>
    <row r="146" spans="1:6" ht="18" customHeight="1" x14ac:dyDescent="0.25">
      <c r="A146" s="68" t="s">
        <v>287</v>
      </c>
      <c r="B146" s="64" t="s">
        <v>288</v>
      </c>
      <c r="C146" s="65"/>
      <c r="D146" s="66"/>
      <c r="E146" s="66"/>
      <c r="F146" s="44"/>
    </row>
    <row r="147" spans="1:6" ht="18" customHeight="1" x14ac:dyDescent="0.25">
      <c r="A147" s="74"/>
      <c r="B147" s="75" t="s">
        <v>289</v>
      </c>
      <c r="C147" s="57"/>
      <c r="D147" s="76">
        <f>+D143+D140+D137+D133+D125</f>
        <v>0</v>
      </c>
      <c r="E147" s="76">
        <f>+E143+E140+E137+E133+E125</f>
        <v>0</v>
      </c>
      <c r="F147" s="44"/>
    </row>
    <row r="148" spans="1:6" ht="18" customHeight="1" x14ac:dyDescent="0.25">
      <c r="A148" s="77"/>
      <c r="B148" s="52" t="s">
        <v>290</v>
      </c>
      <c r="C148" s="53"/>
      <c r="D148" s="78">
        <f>+D147+D122</f>
        <v>314823.20812999998</v>
      </c>
      <c r="E148" s="78">
        <f>+E147+E122</f>
        <v>182606.96000000002</v>
      </c>
      <c r="F148" s="44"/>
    </row>
    <row r="149" spans="1:6" ht="18" customHeight="1" x14ac:dyDescent="0.25">
      <c r="A149" s="86"/>
      <c r="B149" s="87"/>
      <c r="C149" s="88"/>
      <c r="D149" s="89"/>
      <c r="E149" s="89"/>
      <c r="F149" s="47"/>
    </row>
    <row r="150" spans="1:6" ht="18" customHeight="1" x14ac:dyDescent="0.25">
      <c r="A150" s="81" t="s">
        <v>291</v>
      </c>
      <c r="B150" s="52" t="s">
        <v>292</v>
      </c>
      <c r="C150" s="82"/>
      <c r="D150" s="83"/>
      <c r="E150" s="83"/>
      <c r="F150" s="43"/>
    </row>
    <row r="151" spans="1:6" ht="18" customHeight="1" x14ac:dyDescent="0.25">
      <c r="A151" s="79" t="s">
        <v>293</v>
      </c>
      <c r="B151" s="56" t="s">
        <v>294</v>
      </c>
      <c r="C151" s="80"/>
      <c r="D151" s="76"/>
      <c r="E151" s="76"/>
      <c r="F151" s="43"/>
    </row>
    <row r="152" spans="1:6" ht="18" customHeight="1" x14ac:dyDescent="0.25">
      <c r="A152" s="59" t="s">
        <v>295</v>
      </c>
      <c r="B152" s="60" t="s">
        <v>296</v>
      </c>
      <c r="C152" s="61" t="s">
        <v>297</v>
      </c>
      <c r="D152" s="62">
        <f>SUM(D153:D154)</f>
        <v>800</v>
      </c>
      <c r="E152" s="62">
        <f>SUM(E153:E154)</f>
        <v>11454243.560000001</v>
      </c>
      <c r="F152" s="44"/>
    </row>
    <row r="153" spans="1:6" ht="18" customHeight="1" x14ac:dyDescent="0.25">
      <c r="A153" s="68" t="s">
        <v>298</v>
      </c>
      <c r="B153" s="64" t="s">
        <v>299</v>
      </c>
      <c r="C153" s="65"/>
      <c r="D153" s="66">
        <f>78022.11/1000</f>
        <v>78.022109999999998</v>
      </c>
      <c r="E153" s="66">
        <v>325948.58</v>
      </c>
      <c r="F153" s="44"/>
    </row>
    <row r="154" spans="1:6" ht="18" customHeight="1" x14ac:dyDescent="0.25">
      <c r="A154" s="68" t="s">
        <v>300</v>
      </c>
      <c r="B154" s="64" t="s">
        <v>301</v>
      </c>
      <c r="C154" s="65"/>
      <c r="D154" s="66">
        <f>721977.89/1000</f>
        <v>721.97789</v>
      </c>
      <c r="E154" s="66">
        <v>11128294.98</v>
      </c>
      <c r="F154" s="44"/>
    </row>
    <row r="155" spans="1:6" ht="18" customHeight="1" x14ac:dyDescent="0.25">
      <c r="A155" s="59" t="s">
        <v>302</v>
      </c>
      <c r="B155" s="60" t="s">
        <v>303</v>
      </c>
      <c r="C155" s="61" t="s">
        <v>304</v>
      </c>
      <c r="D155" s="62">
        <f>SUM(D156:D157)</f>
        <v>0</v>
      </c>
      <c r="E155" s="62">
        <f>SUM(E156:E157)</f>
        <v>0</v>
      </c>
      <c r="F155" s="44"/>
    </row>
    <row r="156" spans="1:6" ht="18" customHeight="1" x14ac:dyDescent="0.25">
      <c r="A156" s="68" t="s">
        <v>305</v>
      </c>
      <c r="B156" s="64" t="s">
        <v>306</v>
      </c>
      <c r="C156" s="65"/>
      <c r="D156" s="66"/>
      <c r="E156" s="66"/>
      <c r="F156" s="44"/>
    </row>
    <row r="157" spans="1:6" ht="18" customHeight="1" x14ac:dyDescent="0.25">
      <c r="A157" s="68" t="s">
        <v>307</v>
      </c>
      <c r="B157" s="64" t="s">
        <v>308</v>
      </c>
      <c r="C157" s="65"/>
      <c r="D157" s="66"/>
      <c r="E157" s="66"/>
      <c r="F157" s="44"/>
    </row>
    <row r="158" spans="1:6" ht="18" customHeight="1" x14ac:dyDescent="0.25">
      <c r="A158" s="59" t="s">
        <v>309</v>
      </c>
      <c r="B158" s="60" t="s">
        <v>310</v>
      </c>
      <c r="C158" s="61" t="s">
        <v>311</v>
      </c>
      <c r="D158" s="62">
        <f>SUM(D159:D160)</f>
        <v>470951.93108999997</v>
      </c>
      <c r="E158" s="62">
        <f>SUM(E159:E160)</f>
        <v>164771.41</v>
      </c>
      <c r="F158" s="44"/>
    </row>
    <row r="159" spans="1:6" ht="18" customHeight="1" x14ac:dyDescent="0.25">
      <c r="A159" s="68" t="s">
        <v>312</v>
      </c>
      <c r="B159" s="64" t="s">
        <v>313</v>
      </c>
      <c r="C159" s="65"/>
      <c r="D159" s="66">
        <f>470951931.09/1000</f>
        <v>470951.93108999997</v>
      </c>
      <c r="E159" s="66">
        <v>164771.41</v>
      </c>
      <c r="F159" s="44"/>
    </row>
    <row r="160" spans="1:6" ht="18" customHeight="1" x14ac:dyDescent="0.25">
      <c r="A160" s="68" t="s">
        <v>314</v>
      </c>
      <c r="B160" s="64" t="s">
        <v>315</v>
      </c>
      <c r="C160" s="65"/>
      <c r="D160" s="66"/>
      <c r="E160" s="66"/>
      <c r="F160" s="44"/>
    </row>
    <row r="161" spans="1:6" ht="18" customHeight="1" x14ac:dyDescent="0.25">
      <c r="A161" s="59" t="s">
        <v>316</v>
      </c>
      <c r="B161" s="60" t="s">
        <v>317</v>
      </c>
      <c r="C161" s="61" t="s">
        <v>318</v>
      </c>
      <c r="D161" s="62">
        <f>SUM(D162:D165)</f>
        <v>0</v>
      </c>
      <c r="E161" s="62">
        <f>SUM(E162:E165)</f>
        <v>0</v>
      </c>
      <c r="F161" s="44"/>
    </row>
    <row r="162" spans="1:6" ht="18" customHeight="1" x14ac:dyDescent="0.25">
      <c r="A162" s="68" t="s">
        <v>319</v>
      </c>
      <c r="B162" s="64" t="s">
        <v>320</v>
      </c>
      <c r="C162" s="65"/>
      <c r="D162" s="66"/>
      <c r="E162" s="66"/>
      <c r="F162" s="44"/>
    </row>
    <row r="163" spans="1:6" ht="18" customHeight="1" x14ac:dyDescent="0.25">
      <c r="A163" s="68" t="s">
        <v>321</v>
      </c>
      <c r="B163" s="64" t="s">
        <v>322</v>
      </c>
      <c r="C163" s="65"/>
      <c r="D163" s="66"/>
      <c r="E163" s="66"/>
      <c r="F163" s="44"/>
    </row>
    <row r="164" spans="1:6" ht="18" customHeight="1" x14ac:dyDescent="0.25">
      <c r="A164" s="68" t="s">
        <v>323</v>
      </c>
      <c r="B164" s="64" t="s">
        <v>324</v>
      </c>
      <c r="C164" s="65"/>
      <c r="D164" s="66"/>
      <c r="E164" s="66"/>
      <c r="F164" s="44"/>
    </row>
    <row r="165" spans="1:6" ht="18" customHeight="1" x14ac:dyDescent="0.25">
      <c r="A165" s="68" t="s">
        <v>325</v>
      </c>
      <c r="B165" s="64" t="s">
        <v>326</v>
      </c>
      <c r="C165" s="65"/>
      <c r="D165" s="66"/>
      <c r="E165" s="66"/>
      <c r="F165" s="44"/>
    </row>
    <row r="166" spans="1:6" ht="18" customHeight="1" x14ac:dyDescent="0.25">
      <c r="A166" s="59" t="s">
        <v>327</v>
      </c>
      <c r="B166" s="60" t="s">
        <v>328</v>
      </c>
      <c r="C166" s="61" t="s">
        <v>329</v>
      </c>
      <c r="D166" s="62">
        <f>SUM(D167:D168)</f>
        <v>2452037.9349699998</v>
      </c>
      <c r="E166" s="62">
        <f>SUM(E167:E168)</f>
        <v>-9133351.4700000007</v>
      </c>
      <c r="F166" s="44"/>
    </row>
    <row r="167" spans="1:6" ht="18" customHeight="1" x14ac:dyDescent="0.25">
      <c r="A167" s="68" t="s">
        <v>330</v>
      </c>
      <c r="B167" s="64" t="s">
        <v>331</v>
      </c>
      <c r="C167" s="65"/>
      <c r="D167" s="66">
        <f>2332065111.19/1000</f>
        <v>2332065.1111900001</v>
      </c>
      <c r="E167" s="66">
        <f>-7696471.9-1274219.54</f>
        <v>-8970691.4400000013</v>
      </c>
      <c r="F167" s="44"/>
    </row>
    <row r="168" spans="1:6" ht="18" customHeight="1" x14ac:dyDescent="0.25">
      <c r="A168" s="68" t="s">
        <v>332</v>
      </c>
      <c r="B168" s="64" t="s">
        <v>333</v>
      </c>
      <c r="C168" s="65"/>
      <c r="D168" s="159">
        <f>+EstadoResultados_Rendimiento!D228</f>
        <v>119972.82377999974</v>
      </c>
      <c r="E168" s="66">
        <f>+EstadoResultados_Rendimiento!E228</f>
        <v>-162660.0299999998</v>
      </c>
      <c r="F168" s="44"/>
    </row>
    <row r="169" spans="1:6" ht="18" customHeight="1" x14ac:dyDescent="0.25">
      <c r="A169" s="67" t="s">
        <v>334</v>
      </c>
      <c r="B169" s="72" t="s">
        <v>335</v>
      </c>
      <c r="C169" s="65"/>
      <c r="D169" s="66"/>
      <c r="E169" s="66"/>
      <c r="F169" s="47"/>
    </row>
    <row r="170" spans="1:6" ht="18" customHeight="1" x14ac:dyDescent="0.25">
      <c r="A170" s="59" t="s">
        <v>336</v>
      </c>
      <c r="B170" s="60" t="s">
        <v>337</v>
      </c>
      <c r="C170" s="61" t="s">
        <v>338</v>
      </c>
      <c r="D170" s="62">
        <f>SUM(D171:D172)</f>
        <v>0</v>
      </c>
      <c r="E170" s="62">
        <f>SUM(E171:E172)</f>
        <v>0</v>
      </c>
      <c r="F170" s="44"/>
    </row>
    <row r="171" spans="1:6" ht="27" customHeight="1" x14ac:dyDescent="0.25">
      <c r="A171" s="68" t="s">
        <v>339</v>
      </c>
      <c r="B171" s="64" t="s">
        <v>340</v>
      </c>
      <c r="C171" s="65"/>
      <c r="D171" s="66"/>
      <c r="E171" s="66"/>
      <c r="F171" s="44"/>
    </row>
    <row r="172" spans="1:6" ht="27" customHeight="1" x14ac:dyDescent="0.25">
      <c r="A172" s="68" t="s">
        <v>341</v>
      </c>
      <c r="B172" s="64" t="s">
        <v>342</v>
      </c>
      <c r="C172" s="65"/>
      <c r="D172" s="66"/>
      <c r="E172" s="66"/>
      <c r="F172" s="44"/>
    </row>
    <row r="173" spans="1:6" ht="18" customHeight="1" x14ac:dyDescent="0.25">
      <c r="A173" s="59" t="s">
        <v>343</v>
      </c>
      <c r="B173" s="60" t="s">
        <v>344</v>
      </c>
      <c r="C173" s="61" t="s">
        <v>345</v>
      </c>
      <c r="D173" s="62">
        <f>SUM(D174:D177)</f>
        <v>0</v>
      </c>
      <c r="E173" s="62">
        <f>SUM(E174:E177)</f>
        <v>0</v>
      </c>
      <c r="F173" s="44"/>
    </row>
    <row r="174" spans="1:6" ht="18" customHeight="1" x14ac:dyDescent="0.25">
      <c r="A174" s="68" t="s">
        <v>346</v>
      </c>
      <c r="B174" s="64" t="s">
        <v>347</v>
      </c>
      <c r="C174" s="65"/>
      <c r="D174" s="66"/>
      <c r="E174" s="66"/>
      <c r="F174" s="44"/>
    </row>
    <row r="175" spans="1:6" ht="18" customHeight="1" x14ac:dyDescent="0.25">
      <c r="A175" s="68" t="s">
        <v>348</v>
      </c>
      <c r="B175" s="64" t="s">
        <v>349</v>
      </c>
      <c r="C175" s="65"/>
      <c r="D175" s="66"/>
      <c r="E175" s="66"/>
      <c r="F175" s="44"/>
    </row>
    <row r="176" spans="1:6" ht="18" customHeight="1" x14ac:dyDescent="0.25">
      <c r="A176" s="68" t="s">
        <v>350</v>
      </c>
      <c r="B176" s="64" t="s">
        <v>351</v>
      </c>
      <c r="C176" s="65"/>
      <c r="D176" s="66"/>
      <c r="E176" s="66"/>
      <c r="F176" s="44"/>
    </row>
    <row r="177" spans="1:6" ht="18" customHeight="1" x14ac:dyDescent="0.25">
      <c r="A177" s="68" t="s">
        <v>352</v>
      </c>
      <c r="B177" s="64" t="s">
        <v>353</v>
      </c>
      <c r="C177" s="65"/>
      <c r="D177" s="66"/>
      <c r="E177" s="66"/>
      <c r="F177" s="44"/>
    </row>
    <row r="178" spans="1:6" ht="18" customHeight="1" x14ac:dyDescent="0.25">
      <c r="A178" s="79"/>
      <c r="B178" s="56" t="s">
        <v>354</v>
      </c>
      <c r="C178" s="80"/>
      <c r="D178" s="76">
        <f>+D173+D170+D166+D161+D158+D155+D152</f>
        <v>2923789.8660599999</v>
      </c>
      <c r="E178" s="76">
        <f>+E173+E170+E166+E161+E158+E155+E152</f>
        <v>2485663.5</v>
      </c>
      <c r="F178" s="43"/>
    </row>
    <row r="179" spans="1:6" ht="18" customHeight="1" x14ac:dyDescent="0.25">
      <c r="A179" s="77"/>
      <c r="B179" s="52" t="s">
        <v>355</v>
      </c>
      <c r="C179" s="53"/>
      <c r="D179" s="78">
        <f>+D178+D148</f>
        <v>3238613.0741900001</v>
      </c>
      <c r="E179" s="78">
        <f>+E178+E148</f>
        <v>2668270.46</v>
      </c>
      <c r="F179" s="44"/>
    </row>
    <row r="180" spans="1:6" ht="18" customHeight="1" x14ac:dyDescent="0.25">
      <c r="B180" s="48"/>
      <c r="C180" s="45"/>
      <c r="D180" s="49">
        <f>+D179-D89</f>
        <v>0</v>
      </c>
      <c r="E180" s="49">
        <f>+E179-E89</f>
        <v>0</v>
      </c>
    </row>
    <row r="181" spans="1:6" ht="18" customHeight="1" x14ac:dyDescent="0.25">
      <c r="C181" s="45"/>
    </row>
    <row r="182" spans="1:6" ht="18" customHeight="1" x14ac:dyDescent="0.25">
      <c r="B182" s="35"/>
      <c r="C182" s="84"/>
    </row>
    <row r="183" spans="1:6" ht="18" customHeight="1" x14ac:dyDescent="0.25">
      <c r="B183" s="35"/>
      <c r="C183" s="84"/>
    </row>
    <row r="184" spans="1:6" ht="18" customHeight="1" x14ac:dyDescent="0.25">
      <c r="B184" s="35"/>
      <c r="C184" s="84"/>
    </row>
    <row r="185" spans="1:6" ht="18" customHeight="1" x14ac:dyDescent="0.25">
      <c r="B185" s="85" t="s">
        <v>1580</v>
      </c>
      <c r="C185" s="15"/>
    </row>
    <row r="186" spans="1:6" ht="18" customHeight="1" x14ac:dyDescent="0.25">
      <c r="C186" s="45"/>
    </row>
    <row r="187" spans="1:6" ht="18" customHeight="1" x14ac:dyDescent="0.25">
      <c r="B187" s="35"/>
      <c r="C187" s="84"/>
    </row>
    <row r="188" spans="1:6" ht="18" customHeight="1" x14ac:dyDescent="0.25">
      <c r="B188" s="35"/>
      <c r="C188" s="84"/>
    </row>
    <row r="189" spans="1:6" ht="18" customHeight="1" x14ac:dyDescent="0.25">
      <c r="B189" s="35"/>
      <c r="C189" s="84"/>
    </row>
    <row r="190" spans="1:6" ht="18" customHeight="1" x14ac:dyDescent="0.25">
      <c r="B190" s="85" t="s">
        <v>1581</v>
      </c>
      <c r="C190" s="15"/>
    </row>
    <row r="191" spans="1:6" ht="18" customHeight="1" x14ac:dyDescent="0.25">
      <c r="C191" s="45"/>
    </row>
    <row r="192" spans="1:6" ht="18" customHeight="1" x14ac:dyDescent="0.25">
      <c r="B192" s="35"/>
      <c r="C192" s="45"/>
    </row>
    <row r="193" spans="2:3" ht="18" customHeight="1" x14ac:dyDescent="0.25">
      <c r="B193" s="35"/>
      <c r="C193" s="45"/>
    </row>
    <row r="194" spans="2:3" ht="18" customHeight="1" x14ac:dyDescent="0.25">
      <c r="B194" s="35"/>
      <c r="C194" s="45"/>
    </row>
    <row r="195" spans="2:3" ht="18" customHeight="1" x14ac:dyDescent="0.25">
      <c r="B195" s="85" t="s">
        <v>1582</v>
      </c>
      <c r="C195" s="45"/>
    </row>
    <row r="196" spans="2:3" ht="18" customHeight="1" x14ac:dyDescent="0.25">
      <c r="C196" s="45"/>
    </row>
    <row r="197" spans="2:3" ht="18" customHeight="1" x14ac:dyDescent="0.25">
      <c r="C197" s="45"/>
    </row>
  </sheetData>
  <sheetProtection password="E64B" sheet="1" objects="1" scenarios="1"/>
  <protectedRanges>
    <protectedRange sqref="D11:E12 D14:E18 D20:E34 D36:E40 D42:E44 D49:E53 D55:E61 D63:E71 D73:E78 D80:E83 D85:E87" name="Rango3"/>
    <protectedRange sqref="D144:E146 D141:E142 D138:E139 D134:E136 D126:E132 D119:E121 D116:E117 D111:E114 D105:E109 D94:E103" name="Rango2"/>
    <protectedRange sqref="D153:E154 D174:E177 D171:E172 D167:E168 D162:E165 D159:E160 D156:E157" name="Rango1"/>
    <protectedRange sqref="B187:C187 A182:F182 B192" name="Rango2_1"/>
  </protectedRanges>
  <mergeCells count="4">
    <mergeCell ref="A1:E1"/>
    <mergeCell ref="A2:E2"/>
    <mergeCell ref="A3:E3"/>
    <mergeCell ref="A4:E4"/>
  </mergeCells>
  <dataValidations disablePrompts="1" count="1">
    <dataValidation type="textLength" allowBlank="1" showInputMessage="1" showErrorMessage="1" error="No debe exceder en 50 caracteres el texto breve" sqref="B130:B131 IV130:IV131 SR130:SR131 ACN130:ACN131 AMJ130:AMJ131 AWF130:AWF131 BGB130:BGB131 BPX130:BPX131 BZT130:BZT131 CJP130:CJP131 CTL130:CTL131 DDH130:DDH131 DND130:DND131 DWZ130:DWZ131 EGV130:EGV131 EQR130:EQR131 FAN130:FAN131 FKJ130:FKJ131 FUF130:FUF131 GEB130:GEB131 GNX130:GNX131 GXT130:GXT131 HHP130:HHP131 HRL130:HRL131 IBH130:IBH131 ILD130:ILD131 IUZ130:IUZ131 JEV130:JEV131 JOR130:JOR131 JYN130:JYN131 KIJ130:KIJ131 KSF130:KSF131 LCB130:LCB131 LLX130:LLX131 LVT130:LVT131 MFP130:MFP131 MPL130:MPL131 MZH130:MZH131 NJD130:NJD131 NSZ130:NSZ131 OCV130:OCV131 OMR130:OMR131 OWN130:OWN131 PGJ130:PGJ131 PQF130:PQF131 QAB130:QAB131 QJX130:QJX131 QTT130:QTT131 RDP130:RDP131 RNL130:RNL131 RXH130:RXH131 SHD130:SHD131 SQZ130:SQZ131 TAV130:TAV131 TKR130:TKR131 TUN130:TUN131 UEJ130:UEJ131 UOF130:UOF131 UYB130:UYB131 VHX130:VHX131 VRT130:VRT131 WBP130:WBP131 WLL130:WLL131 WVH130:WVH131 B65656:B65657 IV65656:IV65657 SR65656:SR65657 ACN65656:ACN65657 AMJ65656:AMJ65657 AWF65656:AWF65657 BGB65656:BGB65657 BPX65656:BPX65657 BZT65656:BZT65657 CJP65656:CJP65657 CTL65656:CTL65657 DDH65656:DDH65657 DND65656:DND65657 DWZ65656:DWZ65657 EGV65656:EGV65657 EQR65656:EQR65657 FAN65656:FAN65657 FKJ65656:FKJ65657 FUF65656:FUF65657 GEB65656:GEB65657 GNX65656:GNX65657 GXT65656:GXT65657 HHP65656:HHP65657 HRL65656:HRL65657 IBH65656:IBH65657 ILD65656:ILD65657 IUZ65656:IUZ65657 JEV65656:JEV65657 JOR65656:JOR65657 JYN65656:JYN65657 KIJ65656:KIJ65657 KSF65656:KSF65657 LCB65656:LCB65657 LLX65656:LLX65657 LVT65656:LVT65657 MFP65656:MFP65657 MPL65656:MPL65657 MZH65656:MZH65657 NJD65656:NJD65657 NSZ65656:NSZ65657 OCV65656:OCV65657 OMR65656:OMR65657 OWN65656:OWN65657 PGJ65656:PGJ65657 PQF65656:PQF65657 QAB65656:QAB65657 QJX65656:QJX65657 QTT65656:QTT65657 RDP65656:RDP65657 RNL65656:RNL65657 RXH65656:RXH65657 SHD65656:SHD65657 SQZ65656:SQZ65657 TAV65656:TAV65657 TKR65656:TKR65657 TUN65656:TUN65657 UEJ65656:UEJ65657 UOF65656:UOF65657 UYB65656:UYB65657 VHX65656:VHX65657 VRT65656:VRT65657 WBP65656:WBP65657 WLL65656:WLL65657 WVH65656:WVH65657 B131192:B131193 IV131192:IV131193 SR131192:SR131193 ACN131192:ACN131193 AMJ131192:AMJ131193 AWF131192:AWF131193 BGB131192:BGB131193 BPX131192:BPX131193 BZT131192:BZT131193 CJP131192:CJP131193 CTL131192:CTL131193 DDH131192:DDH131193 DND131192:DND131193 DWZ131192:DWZ131193 EGV131192:EGV131193 EQR131192:EQR131193 FAN131192:FAN131193 FKJ131192:FKJ131193 FUF131192:FUF131193 GEB131192:GEB131193 GNX131192:GNX131193 GXT131192:GXT131193 HHP131192:HHP131193 HRL131192:HRL131193 IBH131192:IBH131193 ILD131192:ILD131193 IUZ131192:IUZ131193 JEV131192:JEV131193 JOR131192:JOR131193 JYN131192:JYN131193 KIJ131192:KIJ131193 KSF131192:KSF131193 LCB131192:LCB131193 LLX131192:LLX131193 LVT131192:LVT131193 MFP131192:MFP131193 MPL131192:MPL131193 MZH131192:MZH131193 NJD131192:NJD131193 NSZ131192:NSZ131193 OCV131192:OCV131193 OMR131192:OMR131193 OWN131192:OWN131193 PGJ131192:PGJ131193 PQF131192:PQF131193 QAB131192:QAB131193 QJX131192:QJX131193 QTT131192:QTT131193 RDP131192:RDP131193 RNL131192:RNL131193 RXH131192:RXH131193 SHD131192:SHD131193 SQZ131192:SQZ131193 TAV131192:TAV131193 TKR131192:TKR131193 TUN131192:TUN131193 UEJ131192:UEJ131193 UOF131192:UOF131193 UYB131192:UYB131193 VHX131192:VHX131193 VRT131192:VRT131193 WBP131192:WBP131193 WLL131192:WLL131193 WVH131192:WVH131193 B196728:B196729 IV196728:IV196729 SR196728:SR196729 ACN196728:ACN196729 AMJ196728:AMJ196729 AWF196728:AWF196729 BGB196728:BGB196729 BPX196728:BPX196729 BZT196728:BZT196729 CJP196728:CJP196729 CTL196728:CTL196729 DDH196728:DDH196729 DND196728:DND196729 DWZ196728:DWZ196729 EGV196728:EGV196729 EQR196728:EQR196729 FAN196728:FAN196729 FKJ196728:FKJ196729 FUF196728:FUF196729 GEB196728:GEB196729 GNX196728:GNX196729 GXT196728:GXT196729 HHP196728:HHP196729 HRL196728:HRL196729 IBH196728:IBH196729 ILD196728:ILD196729 IUZ196728:IUZ196729 JEV196728:JEV196729 JOR196728:JOR196729 JYN196728:JYN196729 KIJ196728:KIJ196729 KSF196728:KSF196729 LCB196728:LCB196729 LLX196728:LLX196729 LVT196728:LVT196729 MFP196728:MFP196729 MPL196728:MPL196729 MZH196728:MZH196729 NJD196728:NJD196729 NSZ196728:NSZ196729 OCV196728:OCV196729 OMR196728:OMR196729 OWN196728:OWN196729 PGJ196728:PGJ196729 PQF196728:PQF196729 QAB196728:QAB196729 QJX196728:QJX196729 QTT196728:QTT196729 RDP196728:RDP196729 RNL196728:RNL196729 RXH196728:RXH196729 SHD196728:SHD196729 SQZ196728:SQZ196729 TAV196728:TAV196729 TKR196728:TKR196729 TUN196728:TUN196729 UEJ196728:UEJ196729 UOF196728:UOF196729 UYB196728:UYB196729 VHX196728:VHX196729 VRT196728:VRT196729 WBP196728:WBP196729 WLL196728:WLL196729 WVH196728:WVH196729 B262264:B262265 IV262264:IV262265 SR262264:SR262265 ACN262264:ACN262265 AMJ262264:AMJ262265 AWF262264:AWF262265 BGB262264:BGB262265 BPX262264:BPX262265 BZT262264:BZT262265 CJP262264:CJP262265 CTL262264:CTL262265 DDH262264:DDH262265 DND262264:DND262265 DWZ262264:DWZ262265 EGV262264:EGV262265 EQR262264:EQR262265 FAN262264:FAN262265 FKJ262264:FKJ262265 FUF262264:FUF262265 GEB262264:GEB262265 GNX262264:GNX262265 GXT262264:GXT262265 HHP262264:HHP262265 HRL262264:HRL262265 IBH262264:IBH262265 ILD262264:ILD262265 IUZ262264:IUZ262265 JEV262264:JEV262265 JOR262264:JOR262265 JYN262264:JYN262265 KIJ262264:KIJ262265 KSF262264:KSF262265 LCB262264:LCB262265 LLX262264:LLX262265 LVT262264:LVT262265 MFP262264:MFP262265 MPL262264:MPL262265 MZH262264:MZH262265 NJD262264:NJD262265 NSZ262264:NSZ262265 OCV262264:OCV262265 OMR262264:OMR262265 OWN262264:OWN262265 PGJ262264:PGJ262265 PQF262264:PQF262265 QAB262264:QAB262265 QJX262264:QJX262265 QTT262264:QTT262265 RDP262264:RDP262265 RNL262264:RNL262265 RXH262264:RXH262265 SHD262264:SHD262265 SQZ262264:SQZ262265 TAV262264:TAV262265 TKR262264:TKR262265 TUN262264:TUN262265 UEJ262264:UEJ262265 UOF262264:UOF262265 UYB262264:UYB262265 VHX262264:VHX262265 VRT262264:VRT262265 WBP262264:WBP262265 WLL262264:WLL262265 WVH262264:WVH262265 B327800:B327801 IV327800:IV327801 SR327800:SR327801 ACN327800:ACN327801 AMJ327800:AMJ327801 AWF327800:AWF327801 BGB327800:BGB327801 BPX327800:BPX327801 BZT327800:BZT327801 CJP327800:CJP327801 CTL327800:CTL327801 DDH327800:DDH327801 DND327800:DND327801 DWZ327800:DWZ327801 EGV327800:EGV327801 EQR327800:EQR327801 FAN327800:FAN327801 FKJ327800:FKJ327801 FUF327800:FUF327801 GEB327800:GEB327801 GNX327800:GNX327801 GXT327800:GXT327801 HHP327800:HHP327801 HRL327800:HRL327801 IBH327800:IBH327801 ILD327800:ILD327801 IUZ327800:IUZ327801 JEV327800:JEV327801 JOR327800:JOR327801 JYN327800:JYN327801 KIJ327800:KIJ327801 KSF327800:KSF327801 LCB327800:LCB327801 LLX327800:LLX327801 LVT327800:LVT327801 MFP327800:MFP327801 MPL327800:MPL327801 MZH327800:MZH327801 NJD327800:NJD327801 NSZ327800:NSZ327801 OCV327800:OCV327801 OMR327800:OMR327801 OWN327800:OWN327801 PGJ327800:PGJ327801 PQF327800:PQF327801 QAB327800:QAB327801 QJX327800:QJX327801 QTT327800:QTT327801 RDP327800:RDP327801 RNL327800:RNL327801 RXH327800:RXH327801 SHD327800:SHD327801 SQZ327800:SQZ327801 TAV327800:TAV327801 TKR327800:TKR327801 TUN327800:TUN327801 UEJ327800:UEJ327801 UOF327800:UOF327801 UYB327800:UYB327801 VHX327800:VHX327801 VRT327800:VRT327801 WBP327800:WBP327801 WLL327800:WLL327801 WVH327800:WVH327801 B393336:B393337 IV393336:IV393337 SR393336:SR393337 ACN393336:ACN393337 AMJ393336:AMJ393337 AWF393336:AWF393337 BGB393336:BGB393337 BPX393336:BPX393337 BZT393336:BZT393337 CJP393336:CJP393337 CTL393336:CTL393337 DDH393336:DDH393337 DND393336:DND393337 DWZ393336:DWZ393337 EGV393336:EGV393337 EQR393336:EQR393337 FAN393336:FAN393337 FKJ393336:FKJ393337 FUF393336:FUF393337 GEB393336:GEB393337 GNX393336:GNX393337 GXT393336:GXT393337 HHP393336:HHP393337 HRL393336:HRL393337 IBH393336:IBH393337 ILD393336:ILD393337 IUZ393336:IUZ393337 JEV393336:JEV393337 JOR393336:JOR393337 JYN393336:JYN393337 KIJ393336:KIJ393337 KSF393336:KSF393337 LCB393336:LCB393337 LLX393336:LLX393337 LVT393336:LVT393337 MFP393336:MFP393337 MPL393336:MPL393337 MZH393336:MZH393337 NJD393336:NJD393337 NSZ393336:NSZ393337 OCV393336:OCV393337 OMR393336:OMR393337 OWN393336:OWN393337 PGJ393336:PGJ393337 PQF393336:PQF393337 QAB393336:QAB393337 QJX393336:QJX393337 QTT393336:QTT393337 RDP393336:RDP393337 RNL393336:RNL393337 RXH393336:RXH393337 SHD393336:SHD393337 SQZ393336:SQZ393337 TAV393336:TAV393337 TKR393336:TKR393337 TUN393336:TUN393337 UEJ393336:UEJ393337 UOF393336:UOF393337 UYB393336:UYB393337 VHX393336:VHX393337 VRT393336:VRT393337 WBP393336:WBP393337 WLL393336:WLL393337 WVH393336:WVH393337 B458872:B458873 IV458872:IV458873 SR458872:SR458873 ACN458872:ACN458873 AMJ458872:AMJ458873 AWF458872:AWF458873 BGB458872:BGB458873 BPX458872:BPX458873 BZT458872:BZT458873 CJP458872:CJP458873 CTL458872:CTL458873 DDH458872:DDH458873 DND458872:DND458873 DWZ458872:DWZ458873 EGV458872:EGV458873 EQR458872:EQR458873 FAN458872:FAN458873 FKJ458872:FKJ458873 FUF458872:FUF458873 GEB458872:GEB458873 GNX458872:GNX458873 GXT458872:GXT458873 HHP458872:HHP458873 HRL458872:HRL458873 IBH458872:IBH458873 ILD458872:ILD458873 IUZ458872:IUZ458873 JEV458872:JEV458873 JOR458872:JOR458873 JYN458872:JYN458873 KIJ458872:KIJ458873 KSF458872:KSF458873 LCB458872:LCB458873 LLX458872:LLX458873 LVT458872:LVT458873 MFP458872:MFP458873 MPL458872:MPL458873 MZH458872:MZH458873 NJD458872:NJD458873 NSZ458872:NSZ458873 OCV458872:OCV458873 OMR458872:OMR458873 OWN458872:OWN458873 PGJ458872:PGJ458873 PQF458872:PQF458873 QAB458872:QAB458873 QJX458872:QJX458873 QTT458872:QTT458873 RDP458872:RDP458873 RNL458872:RNL458873 RXH458872:RXH458873 SHD458872:SHD458873 SQZ458872:SQZ458873 TAV458872:TAV458873 TKR458872:TKR458873 TUN458872:TUN458873 UEJ458872:UEJ458873 UOF458872:UOF458873 UYB458872:UYB458873 VHX458872:VHX458873 VRT458872:VRT458873 WBP458872:WBP458873 WLL458872:WLL458873 WVH458872:WVH458873 B524408:B524409 IV524408:IV524409 SR524408:SR524409 ACN524408:ACN524409 AMJ524408:AMJ524409 AWF524408:AWF524409 BGB524408:BGB524409 BPX524408:BPX524409 BZT524408:BZT524409 CJP524408:CJP524409 CTL524408:CTL524409 DDH524408:DDH524409 DND524408:DND524409 DWZ524408:DWZ524409 EGV524408:EGV524409 EQR524408:EQR524409 FAN524408:FAN524409 FKJ524408:FKJ524409 FUF524408:FUF524409 GEB524408:GEB524409 GNX524408:GNX524409 GXT524408:GXT524409 HHP524408:HHP524409 HRL524408:HRL524409 IBH524408:IBH524409 ILD524408:ILD524409 IUZ524408:IUZ524409 JEV524408:JEV524409 JOR524408:JOR524409 JYN524408:JYN524409 KIJ524408:KIJ524409 KSF524408:KSF524409 LCB524408:LCB524409 LLX524408:LLX524409 LVT524408:LVT524409 MFP524408:MFP524409 MPL524408:MPL524409 MZH524408:MZH524409 NJD524408:NJD524409 NSZ524408:NSZ524409 OCV524408:OCV524409 OMR524408:OMR524409 OWN524408:OWN524409 PGJ524408:PGJ524409 PQF524408:PQF524409 QAB524408:QAB524409 QJX524408:QJX524409 QTT524408:QTT524409 RDP524408:RDP524409 RNL524408:RNL524409 RXH524408:RXH524409 SHD524408:SHD524409 SQZ524408:SQZ524409 TAV524408:TAV524409 TKR524408:TKR524409 TUN524408:TUN524409 UEJ524408:UEJ524409 UOF524408:UOF524409 UYB524408:UYB524409 VHX524408:VHX524409 VRT524408:VRT524409 WBP524408:WBP524409 WLL524408:WLL524409 WVH524408:WVH524409 B589944:B589945 IV589944:IV589945 SR589944:SR589945 ACN589944:ACN589945 AMJ589944:AMJ589945 AWF589944:AWF589945 BGB589944:BGB589945 BPX589944:BPX589945 BZT589944:BZT589945 CJP589944:CJP589945 CTL589944:CTL589945 DDH589944:DDH589945 DND589944:DND589945 DWZ589944:DWZ589945 EGV589944:EGV589945 EQR589944:EQR589945 FAN589944:FAN589945 FKJ589944:FKJ589945 FUF589944:FUF589945 GEB589944:GEB589945 GNX589944:GNX589945 GXT589944:GXT589945 HHP589944:HHP589945 HRL589944:HRL589945 IBH589944:IBH589945 ILD589944:ILD589945 IUZ589944:IUZ589945 JEV589944:JEV589945 JOR589944:JOR589945 JYN589944:JYN589945 KIJ589944:KIJ589945 KSF589944:KSF589945 LCB589944:LCB589945 LLX589944:LLX589945 LVT589944:LVT589945 MFP589944:MFP589945 MPL589944:MPL589945 MZH589944:MZH589945 NJD589944:NJD589945 NSZ589944:NSZ589945 OCV589944:OCV589945 OMR589944:OMR589945 OWN589944:OWN589945 PGJ589944:PGJ589945 PQF589944:PQF589945 QAB589944:QAB589945 QJX589944:QJX589945 QTT589944:QTT589945 RDP589944:RDP589945 RNL589944:RNL589945 RXH589944:RXH589945 SHD589944:SHD589945 SQZ589944:SQZ589945 TAV589944:TAV589945 TKR589944:TKR589945 TUN589944:TUN589945 UEJ589944:UEJ589945 UOF589944:UOF589945 UYB589944:UYB589945 VHX589944:VHX589945 VRT589944:VRT589945 WBP589944:WBP589945 WLL589944:WLL589945 WVH589944:WVH589945 B655480:B655481 IV655480:IV655481 SR655480:SR655481 ACN655480:ACN655481 AMJ655480:AMJ655481 AWF655480:AWF655481 BGB655480:BGB655481 BPX655480:BPX655481 BZT655480:BZT655481 CJP655480:CJP655481 CTL655480:CTL655481 DDH655480:DDH655481 DND655480:DND655481 DWZ655480:DWZ655481 EGV655480:EGV655481 EQR655480:EQR655481 FAN655480:FAN655481 FKJ655480:FKJ655481 FUF655480:FUF655481 GEB655480:GEB655481 GNX655480:GNX655481 GXT655480:GXT655481 HHP655480:HHP655481 HRL655480:HRL655481 IBH655480:IBH655481 ILD655480:ILD655481 IUZ655480:IUZ655481 JEV655480:JEV655481 JOR655480:JOR655481 JYN655480:JYN655481 KIJ655480:KIJ655481 KSF655480:KSF655481 LCB655480:LCB655481 LLX655480:LLX655481 LVT655480:LVT655481 MFP655480:MFP655481 MPL655480:MPL655481 MZH655480:MZH655481 NJD655480:NJD655481 NSZ655480:NSZ655481 OCV655480:OCV655481 OMR655480:OMR655481 OWN655480:OWN655481 PGJ655480:PGJ655481 PQF655480:PQF655481 QAB655480:QAB655481 QJX655480:QJX655481 QTT655480:QTT655481 RDP655480:RDP655481 RNL655480:RNL655481 RXH655480:RXH655481 SHD655480:SHD655481 SQZ655480:SQZ655481 TAV655480:TAV655481 TKR655480:TKR655481 TUN655480:TUN655481 UEJ655480:UEJ655481 UOF655480:UOF655481 UYB655480:UYB655481 VHX655480:VHX655481 VRT655480:VRT655481 WBP655480:WBP655481 WLL655480:WLL655481 WVH655480:WVH655481 B721016:B721017 IV721016:IV721017 SR721016:SR721017 ACN721016:ACN721017 AMJ721016:AMJ721017 AWF721016:AWF721017 BGB721016:BGB721017 BPX721016:BPX721017 BZT721016:BZT721017 CJP721016:CJP721017 CTL721016:CTL721017 DDH721016:DDH721017 DND721016:DND721017 DWZ721016:DWZ721017 EGV721016:EGV721017 EQR721016:EQR721017 FAN721016:FAN721017 FKJ721016:FKJ721017 FUF721016:FUF721017 GEB721016:GEB721017 GNX721016:GNX721017 GXT721016:GXT721017 HHP721016:HHP721017 HRL721016:HRL721017 IBH721016:IBH721017 ILD721016:ILD721017 IUZ721016:IUZ721017 JEV721016:JEV721017 JOR721016:JOR721017 JYN721016:JYN721017 KIJ721016:KIJ721017 KSF721016:KSF721017 LCB721016:LCB721017 LLX721016:LLX721017 LVT721016:LVT721017 MFP721016:MFP721017 MPL721016:MPL721017 MZH721016:MZH721017 NJD721016:NJD721017 NSZ721016:NSZ721017 OCV721016:OCV721017 OMR721016:OMR721017 OWN721016:OWN721017 PGJ721016:PGJ721017 PQF721016:PQF721017 QAB721016:QAB721017 QJX721016:QJX721017 QTT721016:QTT721017 RDP721016:RDP721017 RNL721016:RNL721017 RXH721016:RXH721017 SHD721016:SHD721017 SQZ721016:SQZ721017 TAV721016:TAV721017 TKR721016:TKR721017 TUN721016:TUN721017 UEJ721016:UEJ721017 UOF721016:UOF721017 UYB721016:UYB721017 VHX721016:VHX721017 VRT721016:VRT721017 WBP721016:WBP721017 WLL721016:WLL721017 WVH721016:WVH721017 B786552:B786553 IV786552:IV786553 SR786552:SR786553 ACN786552:ACN786553 AMJ786552:AMJ786553 AWF786552:AWF786553 BGB786552:BGB786553 BPX786552:BPX786553 BZT786552:BZT786553 CJP786552:CJP786553 CTL786552:CTL786553 DDH786552:DDH786553 DND786552:DND786553 DWZ786552:DWZ786553 EGV786552:EGV786553 EQR786552:EQR786553 FAN786552:FAN786553 FKJ786552:FKJ786553 FUF786552:FUF786553 GEB786552:GEB786553 GNX786552:GNX786553 GXT786552:GXT786553 HHP786552:HHP786553 HRL786552:HRL786553 IBH786552:IBH786553 ILD786552:ILD786553 IUZ786552:IUZ786553 JEV786552:JEV786553 JOR786552:JOR786553 JYN786552:JYN786553 KIJ786552:KIJ786553 KSF786552:KSF786553 LCB786552:LCB786553 LLX786552:LLX786553 LVT786552:LVT786553 MFP786552:MFP786553 MPL786552:MPL786553 MZH786552:MZH786553 NJD786552:NJD786553 NSZ786552:NSZ786553 OCV786552:OCV786553 OMR786552:OMR786553 OWN786552:OWN786553 PGJ786552:PGJ786553 PQF786552:PQF786553 QAB786552:QAB786553 QJX786552:QJX786553 QTT786552:QTT786553 RDP786552:RDP786553 RNL786552:RNL786553 RXH786552:RXH786553 SHD786552:SHD786553 SQZ786552:SQZ786553 TAV786552:TAV786553 TKR786552:TKR786553 TUN786552:TUN786553 UEJ786552:UEJ786553 UOF786552:UOF786553 UYB786552:UYB786553 VHX786552:VHX786553 VRT786552:VRT786553 WBP786552:WBP786553 WLL786552:WLL786553 WVH786552:WVH786553 B852088:B852089 IV852088:IV852089 SR852088:SR852089 ACN852088:ACN852089 AMJ852088:AMJ852089 AWF852088:AWF852089 BGB852088:BGB852089 BPX852088:BPX852089 BZT852088:BZT852089 CJP852088:CJP852089 CTL852088:CTL852089 DDH852088:DDH852089 DND852088:DND852089 DWZ852088:DWZ852089 EGV852088:EGV852089 EQR852088:EQR852089 FAN852088:FAN852089 FKJ852088:FKJ852089 FUF852088:FUF852089 GEB852088:GEB852089 GNX852088:GNX852089 GXT852088:GXT852089 HHP852088:HHP852089 HRL852088:HRL852089 IBH852088:IBH852089 ILD852088:ILD852089 IUZ852088:IUZ852089 JEV852088:JEV852089 JOR852088:JOR852089 JYN852088:JYN852089 KIJ852088:KIJ852089 KSF852088:KSF852089 LCB852088:LCB852089 LLX852088:LLX852089 LVT852088:LVT852089 MFP852088:MFP852089 MPL852088:MPL852089 MZH852088:MZH852089 NJD852088:NJD852089 NSZ852088:NSZ852089 OCV852088:OCV852089 OMR852088:OMR852089 OWN852088:OWN852089 PGJ852088:PGJ852089 PQF852088:PQF852089 QAB852088:QAB852089 QJX852088:QJX852089 QTT852088:QTT852089 RDP852088:RDP852089 RNL852088:RNL852089 RXH852088:RXH852089 SHD852088:SHD852089 SQZ852088:SQZ852089 TAV852088:TAV852089 TKR852088:TKR852089 TUN852088:TUN852089 UEJ852088:UEJ852089 UOF852088:UOF852089 UYB852088:UYB852089 VHX852088:VHX852089 VRT852088:VRT852089 WBP852088:WBP852089 WLL852088:WLL852089 WVH852088:WVH852089 B917624:B917625 IV917624:IV917625 SR917624:SR917625 ACN917624:ACN917625 AMJ917624:AMJ917625 AWF917624:AWF917625 BGB917624:BGB917625 BPX917624:BPX917625 BZT917624:BZT917625 CJP917624:CJP917625 CTL917624:CTL917625 DDH917624:DDH917625 DND917624:DND917625 DWZ917624:DWZ917625 EGV917624:EGV917625 EQR917624:EQR917625 FAN917624:FAN917625 FKJ917624:FKJ917625 FUF917624:FUF917625 GEB917624:GEB917625 GNX917624:GNX917625 GXT917624:GXT917625 HHP917624:HHP917625 HRL917624:HRL917625 IBH917624:IBH917625 ILD917624:ILD917625 IUZ917624:IUZ917625 JEV917624:JEV917625 JOR917624:JOR917625 JYN917624:JYN917625 KIJ917624:KIJ917625 KSF917624:KSF917625 LCB917624:LCB917625 LLX917624:LLX917625 LVT917624:LVT917625 MFP917624:MFP917625 MPL917624:MPL917625 MZH917624:MZH917625 NJD917624:NJD917625 NSZ917624:NSZ917625 OCV917624:OCV917625 OMR917624:OMR917625 OWN917624:OWN917625 PGJ917624:PGJ917625 PQF917624:PQF917625 QAB917624:QAB917625 QJX917624:QJX917625 QTT917624:QTT917625 RDP917624:RDP917625 RNL917624:RNL917625 RXH917624:RXH917625 SHD917624:SHD917625 SQZ917624:SQZ917625 TAV917624:TAV917625 TKR917624:TKR917625 TUN917624:TUN917625 UEJ917624:UEJ917625 UOF917624:UOF917625 UYB917624:UYB917625 VHX917624:VHX917625 VRT917624:VRT917625 WBP917624:WBP917625 WLL917624:WLL917625 WVH917624:WVH917625 B983160:B983161 IV983160:IV983161 SR983160:SR983161 ACN983160:ACN983161 AMJ983160:AMJ983161 AWF983160:AWF983161 BGB983160:BGB983161 BPX983160:BPX983161 BZT983160:BZT983161 CJP983160:CJP983161 CTL983160:CTL983161 DDH983160:DDH983161 DND983160:DND983161 DWZ983160:DWZ983161 EGV983160:EGV983161 EQR983160:EQR983161 FAN983160:FAN983161 FKJ983160:FKJ983161 FUF983160:FUF983161 GEB983160:GEB983161 GNX983160:GNX983161 GXT983160:GXT983161 HHP983160:HHP983161 HRL983160:HRL983161 IBH983160:IBH983161 ILD983160:ILD983161 IUZ983160:IUZ983161 JEV983160:JEV983161 JOR983160:JOR983161 JYN983160:JYN983161 KIJ983160:KIJ983161 KSF983160:KSF983161 LCB983160:LCB983161 LLX983160:LLX983161 LVT983160:LVT983161 MFP983160:MFP983161 MPL983160:MPL983161 MZH983160:MZH983161 NJD983160:NJD983161 NSZ983160:NSZ983161 OCV983160:OCV983161 OMR983160:OMR983161 OWN983160:OWN983161 PGJ983160:PGJ983161 PQF983160:PQF983161 QAB983160:QAB983161 QJX983160:QJX983161 QTT983160:QTT983161 RDP983160:RDP983161 RNL983160:RNL983161 RXH983160:RXH983161 SHD983160:SHD983161 SQZ983160:SQZ983161 TAV983160:TAV983161 TKR983160:TKR983161 TUN983160:TUN983161 UEJ983160:UEJ983161 UOF983160:UOF983161 UYB983160:UYB983161 VHX983160:VHX983161 VRT983160:VRT983161 WBP983160:WBP983161 WLL983160:WLL983161 WVH983160:WVH983161">
      <formula1>1</formula1>
      <formula2>50</formula2>
    </dataValidation>
  </dataValidations>
  <pageMargins left="0.7" right="0.7" top="0.75" bottom="0.75" header="0.3" footer="0.3"/>
  <pageSetup scale="66" orientation="portrait" r:id="rId1"/>
  <rowBreaks count="3" manualBreakCount="3">
    <brk id="46" max="4" man="1"/>
    <brk id="90" max="4" man="1"/>
    <brk id="14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activeCell="A2" sqref="A2:K4"/>
    </sheetView>
  </sheetViews>
  <sheetFormatPr baseColWidth="10" defaultRowHeight="15" x14ac:dyDescent="0.25"/>
  <cols>
    <col min="1" max="1" width="7.7109375" bestFit="1" customWidth="1"/>
    <col min="2" max="2" width="40.85546875" bestFit="1" customWidth="1"/>
    <col min="4" max="4" width="12.85546875" bestFit="1" customWidth="1"/>
    <col min="5" max="5" width="11.28515625" bestFit="1" customWidth="1"/>
    <col min="6" max="6" width="9.85546875" bestFit="1" customWidth="1"/>
    <col min="7" max="7" width="11" bestFit="1" customWidth="1"/>
    <col min="8" max="8" width="12.28515625" bestFit="1" customWidth="1"/>
    <col min="9" max="10" width="10.7109375" bestFit="1" customWidth="1"/>
  </cols>
  <sheetData>
    <row r="1" spans="1:11" ht="18" x14ac:dyDescent="0.25">
      <c r="A1" s="281"/>
      <c r="B1" s="282" t="str">
        <f>[1]Data!Y1</f>
        <v/>
      </c>
      <c r="C1" s="282"/>
      <c r="D1" s="282"/>
      <c r="E1" s="282"/>
      <c r="F1" s="282"/>
      <c r="G1" s="282"/>
      <c r="H1" s="282"/>
      <c r="I1" s="282"/>
      <c r="J1" s="282"/>
      <c r="K1" s="282"/>
    </row>
    <row r="2" spans="1:11" ht="18" customHeight="1" x14ac:dyDescent="0.25">
      <c r="A2" s="422" t="s">
        <v>3167</v>
      </c>
      <c r="B2" s="422"/>
      <c r="C2" s="422"/>
      <c r="D2" s="422"/>
      <c r="E2" s="422"/>
      <c r="F2" s="422"/>
      <c r="G2" s="422"/>
      <c r="H2" s="422"/>
      <c r="I2" s="422"/>
      <c r="J2" s="422"/>
      <c r="K2" s="422"/>
    </row>
    <row r="3" spans="1:11" ht="18" x14ac:dyDescent="0.25">
      <c r="A3" s="163" t="s">
        <v>3079</v>
      </c>
      <c r="B3" s="163"/>
      <c r="C3" s="163"/>
      <c r="D3" s="163"/>
      <c r="E3" s="163"/>
      <c r="F3" s="163"/>
      <c r="G3" s="163"/>
      <c r="H3" s="163"/>
      <c r="I3" s="163"/>
      <c r="J3" s="163"/>
      <c r="K3" s="163"/>
    </row>
    <row r="4" spans="1:11" ht="18" x14ac:dyDescent="0.25">
      <c r="A4" s="40"/>
      <c r="B4" s="163" t="s">
        <v>3079</v>
      </c>
      <c r="C4" s="163"/>
      <c r="D4" s="163"/>
      <c r="E4" s="163"/>
      <c r="F4" s="163"/>
      <c r="G4" s="163"/>
      <c r="H4" s="163"/>
      <c r="I4" s="163"/>
      <c r="J4" s="163"/>
      <c r="K4" s="163"/>
    </row>
    <row r="5" spans="1:11" ht="18" customHeight="1" x14ac:dyDescent="0.25">
      <c r="A5" s="332" t="s">
        <v>3091</v>
      </c>
      <c r="B5" s="332"/>
      <c r="C5" s="332"/>
      <c r="D5" s="332"/>
      <c r="E5" s="332"/>
      <c r="F5" s="332"/>
      <c r="G5" s="332"/>
      <c r="H5" s="332"/>
      <c r="I5" s="332"/>
      <c r="J5" s="332"/>
      <c r="K5" s="332"/>
    </row>
    <row r="6" spans="1:11" ht="16.5" x14ac:dyDescent="0.25">
      <c r="A6" s="283" t="s">
        <v>3080</v>
      </c>
      <c r="B6" s="283"/>
      <c r="C6" s="283"/>
      <c r="D6" s="283"/>
      <c r="E6" s="283"/>
      <c r="F6" s="283"/>
      <c r="G6" s="283"/>
      <c r="H6" s="283"/>
      <c r="I6" s="283"/>
      <c r="J6" s="283"/>
      <c r="K6" s="283"/>
    </row>
    <row r="7" spans="1:11" x14ac:dyDescent="0.25">
      <c r="A7" s="284" t="s">
        <v>3081</v>
      </c>
      <c r="B7" s="284" t="s">
        <v>3082</v>
      </c>
      <c r="C7" s="285"/>
      <c r="D7" s="286" t="s">
        <v>296</v>
      </c>
      <c r="E7" s="287" t="s">
        <v>3083</v>
      </c>
      <c r="F7" s="287" t="s">
        <v>310</v>
      </c>
      <c r="G7" s="287" t="s">
        <v>317</v>
      </c>
      <c r="H7" s="287" t="s">
        <v>328</v>
      </c>
      <c r="I7" s="287" t="s">
        <v>3084</v>
      </c>
      <c r="J7" s="287" t="s">
        <v>3085</v>
      </c>
      <c r="K7" s="288" t="s">
        <v>3086</v>
      </c>
    </row>
    <row r="8" spans="1:11" x14ac:dyDescent="0.25">
      <c r="A8" s="289"/>
      <c r="B8" s="289"/>
      <c r="C8" s="290"/>
      <c r="D8" s="291"/>
      <c r="E8" s="292"/>
      <c r="F8" s="292"/>
      <c r="G8" s="292"/>
      <c r="H8" s="292"/>
      <c r="I8" s="292"/>
      <c r="J8" s="292"/>
      <c r="K8" s="293"/>
    </row>
    <row r="9" spans="1:11" x14ac:dyDescent="0.25">
      <c r="A9" s="289"/>
      <c r="B9" s="289"/>
      <c r="C9" s="290"/>
      <c r="D9" s="294"/>
      <c r="E9" s="295"/>
      <c r="F9" s="295"/>
      <c r="G9" s="295"/>
      <c r="H9" s="295"/>
      <c r="I9" s="295"/>
      <c r="J9" s="295"/>
      <c r="K9" s="296"/>
    </row>
    <row r="10" spans="1:11" x14ac:dyDescent="0.25">
      <c r="A10" s="289"/>
      <c r="B10" s="289"/>
      <c r="C10" s="290"/>
      <c r="D10" s="297">
        <v>311</v>
      </c>
      <c r="E10" s="297">
        <v>312</v>
      </c>
      <c r="F10" s="297">
        <v>313</v>
      </c>
      <c r="G10" s="297">
        <v>314</v>
      </c>
      <c r="H10" s="297">
        <v>315</v>
      </c>
      <c r="I10" s="297">
        <v>321</v>
      </c>
      <c r="J10" s="297">
        <v>322</v>
      </c>
      <c r="K10" s="298"/>
    </row>
    <row r="11" spans="1:11" x14ac:dyDescent="0.25">
      <c r="A11" s="289"/>
      <c r="B11" s="299"/>
      <c r="C11" s="300"/>
      <c r="D11" s="301"/>
      <c r="E11" s="301"/>
      <c r="F11" s="301"/>
      <c r="G11" s="301"/>
      <c r="H11" s="301"/>
      <c r="I11" s="301"/>
      <c r="J11" s="301"/>
      <c r="K11" s="302"/>
    </row>
    <row r="12" spans="1:11" ht="16.5" x14ac:dyDescent="0.25">
      <c r="A12" s="281"/>
      <c r="B12" s="303" t="e">
        <f>"Saldos al 31/12/"&amp; [1]Data!D2- 1</f>
        <v>#VALUE!</v>
      </c>
      <c r="C12" s="304"/>
      <c r="D12" s="305">
        <v>11454243.560000001</v>
      </c>
      <c r="E12" s="305">
        <v>0</v>
      </c>
      <c r="F12" s="305">
        <v>164771.41</v>
      </c>
      <c r="G12" s="305">
        <v>0</v>
      </c>
      <c r="H12" s="305">
        <f>-9133351431.04/1000</f>
        <v>-9133351.4310400002</v>
      </c>
      <c r="I12" s="305">
        <v>0</v>
      </c>
      <c r="J12" s="305">
        <v>0</v>
      </c>
      <c r="K12" s="305">
        <f>SUM(D12:J12)</f>
        <v>2485663.5389600005</v>
      </c>
    </row>
    <row r="13" spans="1:11" ht="15.75" x14ac:dyDescent="0.25">
      <c r="A13" s="306" t="s">
        <v>3087</v>
      </c>
      <c r="B13" s="307"/>
      <c r="C13" s="307"/>
      <c r="D13" s="307"/>
      <c r="E13" s="307"/>
      <c r="F13" s="307"/>
      <c r="G13" s="307"/>
      <c r="H13" s="307"/>
      <c r="I13" s="307"/>
      <c r="J13" s="307"/>
      <c r="K13" s="307"/>
    </row>
    <row r="14" spans="1:11" ht="16.5" x14ac:dyDescent="0.25">
      <c r="A14" s="308" t="s">
        <v>298</v>
      </c>
      <c r="B14" s="309" t="s">
        <v>299</v>
      </c>
      <c r="C14" s="310"/>
      <c r="D14" s="311">
        <v>-325870.56</v>
      </c>
      <c r="E14" s="312"/>
      <c r="F14" s="313"/>
      <c r="G14" s="313"/>
      <c r="H14" s="313"/>
      <c r="I14" s="313"/>
      <c r="J14" s="313"/>
      <c r="K14" s="305">
        <f t="shared" ref="K14:K31" si="0">SUM(D14:J14)</f>
        <v>-325870.56</v>
      </c>
    </row>
    <row r="15" spans="1:11" ht="16.5" x14ac:dyDescent="0.25">
      <c r="A15" s="308" t="s">
        <v>300</v>
      </c>
      <c r="B15" s="309" t="s">
        <v>301</v>
      </c>
      <c r="C15" s="310"/>
      <c r="D15" s="311">
        <v>-11127573</v>
      </c>
      <c r="E15" s="312"/>
      <c r="F15" s="313"/>
      <c r="G15" s="313"/>
      <c r="H15" s="313"/>
      <c r="I15" s="313"/>
      <c r="J15" s="313"/>
      <c r="K15" s="305">
        <f t="shared" si="0"/>
        <v>-11127573</v>
      </c>
    </row>
    <row r="16" spans="1:11" ht="16.5" x14ac:dyDescent="0.25">
      <c r="A16" s="308" t="s">
        <v>305</v>
      </c>
      <c r="B16" s="309" t="s">
        <v>306</v>
      </c>
      <c r="C16" s="310"/>
      <c r="D16" s="313"/>
      <c r="E16" s="311"/>
      <c r="F16" s="313"/>
      <c r="G16" s="313"/>
      <c r="H16" s="313"/>
      <c r="I16" s="313"/>
      <c r="J16" s="313"/>
      <c r="K16" s="305">
        <f t="shared" si="0"/>
        <v>0</v>
      </c>
    </row>
    <row r="17" spans="1:11" ht="16.5" x14ac:dyDescent="0.25">
      <c r="A17" s="308" t="s">
        <v>307</v>
      </c>
      <c r="B17" s="309" t="s">
        <v>308</v>
      </c>
      <c r="C17" s="310"/>
      <c r="D17" s="313"/>
      <c r="E17" s="311"/>
      <c r="F17" s="313"/>
      <c r="G17" s="313"/>
      <c r="H17" s="313"/>
      <c r="I17" s="313"/>
      <c r="J17" s="313"/>
      <c r="K17" s="305">
        <f t="shared" si="0"/>
        <v>0</v>
      </c>
    </row>
    <row r="18" spans="1:11" ht="16.5" x14ac:dyDescent="0.25">
      <c r="A18" s="314" t="s">
        <v>312</v>
      </c>
      <c r="B18" s="309" t="s">
        <v>313</v>
      </c>
      <c r="C18" s="310"/>
      <c r="D18" s="313"/>
      <c r="E18" s="313"/>
      <c r="F18" s="311">
        <v>306180.52068999998</v>
      </c>
      <c r="G18" s="315"/>
      <c r="H18" s="315"/>
      <c r="I18" s="313"/>
      <c r="J18" s="313"/>
      <c r="K18" s="305">
        <f t="shared" si="0"/>
        <v>306180.52068999998</v>
      </c>
    </row>
    <row r="19" spans="1:11" ht="16.5" x14ac:dyDescent="0.25">
      <c r="A19" s="314" t="s">
        <v>314</v>
      </c>
      <c r="B19" s="309" t="s">
        <v>315</v>
      </c>
      <c r="C19" s="310"/>
      <c r="D19" s="313"/>
      <c r="E19" s="313"/>
      <c r="F19" s="311"/>
      <c r="G19" s="313"/>
      <c r="H19" s="313"/>
      <c r="I19" s="313"/>
      <c r="J19" s="313"/>
      <c r="K19" s="305">
        <f t="shared" si="0"/>
        <v>0</v>
      </c>
    </row>
    <row r="20" spans="1:11" ht="16.5" x14ac:dyDescent="0.25">
      <c r="A20" s="308" t="s">
        <v>319</v>
      </c>
      <c r="B20" s="309" t="s">
        <v>320</v>
      </c>
      <c r="C20" s="310"/>
      <c r="D20" s="313"/>
      <c r="E20" s="313"/>
      <c r="F20" s="316"/>
      <c r="G20" s="311"/>
      <c r="H20" s="315"/>
      <c r="I20" s="313"/>
      <c r="J20" s="313"/>
      <c r="K20" s="305">
        <f t="shared" si="0"/>
        <v>0</v>
      </c>
    </row>
    <row r="21" spans="1:11" ht="33" x14ac:dyDescent="0.25">
      <c r="A21" s="308" t="s">
        <v>321</v>
      </c>
      <c r="B21" s="309" t="s">
        <v>322</v>
      </c>
      <c r="C21" s="317"/>
      <c r="D21" s="313"/>
      <c r="E21" s="313"/>
      <c r="F21" s="316"/>
      <c r="G21" s="311"/>
      <c r="H21" s="313"/>
      <c r="I21" s="313"/>
      <c r="J21" s="313"/>
      <c r="K21" s="305">
        <f t="shared" si="0"/>
        <v>0</v>
      </c>
    </row>
    <row r="22" spans="1:11" ht="33" x14ac:dyDescent="0.25">
      <c r="A22" s="308" t="s">
        <v>323</v>
      </c>
      <c r="B22" s="309" t="s">
        <v>324</v>
      </c>
      <c r="C22" s="310"/>
      <c r="D22" s="313"/>
      <c r="E22" s="313"/>
      <c r="F22" s="316"/>
      <c r="G22" s="311"/>
      <c r="H22" s="313"/>
      <c r="I22" s="315"/>
      <c r="J22" s="315"/>
      <c r="K22" s="305">
        <f t="shared" si="0"/>
        <v>0</v>
      </c>
    </row>
    <row r="23" spans="1:11" ht="16.5" x14ac:dyDescent="0.25">
      <c r="A23" s="308" t="s">
        <v>325</v>
      </c>
      <c r="B23" s="309" t="s">
        <v>326</v>
      </c>
      <c r="C23" s="318"/>
      <c r="D23" s="313"/>
      <c r="E23" s="313"/>
      <c r="F23" s="316"/>
      <c r="G23" s="311"/>
      <c r="H23" s="313"/>
      <c r="I23" s="313"/>
      <c r="J23" s="313"/>
      <c r="K23" s="305">
        <f t="shared" si="0"/>
        <v>0</v>
      </c>
    </row>
    <row r="24" spans="1:11" ht="16.5" x14ac:dyDescent="0.25">
      <c r="A24" s="308" t="s">
        <v>330</v>
      </c>
      <c r="B24" s="309" t="s">
        <v>331</v>
      </c>
      <c r="C24" s="310"/>
      <c r="D24" s="313"/>
      <c r="E24" s="313"/>
      <c r="F24" s="313"/>
      <c r="G24" s="313"/>
      <c r="H24" s="319">
        <v>11465416.537249999</v>
      </c>
      <c r="I24" s="313"/>
      <c r="J24" s="313"/>
      <c r="K24" s="305">
        <f t="shared" si="0"/>
        <v>11465416.537249999</v>
      </c>
    </row>
    <row r="25" spans="1:11" ht="16.5" x14ac:dyDescent="0.25">
      <c r="A25" s="308" t="s">
        <v>332</v>
      </c>
      <c r="B25" s="309" t="s">
        <v>333</v>
      </c>
      <c r="C25" s="318"/>
      <c r="D25" s="313"/>
      <c r="E25" s="313"/>
      <c r="F25" s="313"/>
      <c r="G25" s="313"/>
      <c r="H25" s="311">
        <v>119972.82378000001</v>
      </c>
      <c r="I25" s="313"/>
      <c r="J25" s="313"/>
      <c r="K25" s="305">
        <f t="shared" si="0"/>
        <v>119972.82378000001</v>
      </c>
    </row>
    <row r="26" spans="1:11" ht="49.5" x14ac:dyDescent="0.25">
      <c r="A26" s="308" t="s">
        <v>339</v>
      </c>
      <c r="B26" s="309" t="s">
        <v>340</v>
      </c>
      <c r="C26" s="310"/>
      <c r="D26" s="313"/>
      <c r="E26" s="313"/>
      <c r="F26" s="313"/>
      <c r="G26" s="313"/>
      <c r="H26" s="315"/>
      <c r="I26" s="311"/>
      <c r="J26" s="313"/>
      <c r="K26" s="305">
        <f t="shared" si="0"/>
        <v>0</v>
      </c>
    </row>
    <row r="27" spans="1:11" ht="49.5" x14ac:dyDescent="0.25">
      <c r="A27" s="308" t="s">
        <v>341</v>
      </c>
      <c r="B27" s="309" t="s">
        <v>342</v>
      </c>
      <c r="C27" s="310"/>
      <c r="D27" s="313"/>
      <c r="E27" s="313"/>
      <c r="F27" s="313"/>
      <c r="G27" s="313"/>
      <c r="H27" s="313"/>
      <c r="I27" s="311"/>
      <c r="J27" s="313"/>
      <c r="K27" s="305">
        <f t="shared" si="0"/>
        <v>0</v>
      </c>
    </row>
    <row r="28" spans="1:11" ht="16.5" x14ac:dyDescent="0.25">
      <c r="A28" s="308" t="s">
        <v>346</v>
      </c>
      <c r="B28" s="309" t="s">
        <v>347</v>
      </c>
      <c r="C28" s="310"/>
      <c r="D28" s="313"/>
      <c r="E28" s="313"/>
      <c r="F28" s="313"/>
      <c r="G28" s="313"/>
      <c r="H28" s="313"/>
      <c r="I28" s="313"/>
      <c r="J28" s="320"/>
      <c r="K28" s="305">
        <f t="shared" si="0"/>
        <v>0</v>
      </c>
    </row>
    <row r="29" spans="1:11" ht="33" x14ac:dyDescent="0.25">
      <c r="A29" s="308" t="s">
        <v>348</v>
      </c>
      <c r="B29" s="309" t="s">
        <v>349</v>
      </c>
      <c r="C29" s="310"/>
      <c r="D29" s="313"/>
      <c r="E29" s="313"/>
      <c r="F29" s="313"/>
      <c r="G29" s="313"/>
      <c r="H29" s="313"/>
      <c r="I29" s="313"/>
      <c r="J29" s="320"/>
      <c r="K29" s="305">
        <f t="shared" si="0"/>
        <v>0</v>
      </c>
    </row>
    <row r="30" spans="1:11" ht="33" x14ac:dyDescent="0.25">
      <c r="A30" s="308" t="s">
        <v>350</v>
      </c>
      <c r="B30" s="309" t="s">
        <v>351</v>
      </c>
      <c r="C30" s="310"/>
      <c r="D30" s="313"/>
      <c r="E30" s="313"/>
      <c r="F30" s="313"/>
      <c r="G30" s="313"/>
      <c r="H30" s="313"/>
      <c r="I30" s="313"/>
      <c r="J30" s="320"/>
      <c r="K30" s="305">
        <f t="shared" si="0"/>
        <v>0</v>
      </c>
    </row>
    <row r="31" spans="1:11" ht="33" x14ac:dyDescent="0.25">
      <c r="A31" s="308" t="s">
        <v>352</v>
      </c>
      <c r="B31" s="309" t="s">
        <v>353</v>
      </c>
      <c r="C31" s="310"/>
      <c r="D31" s="313"/>
      <c r="E31" s="313"/>
      <c r="F31" s="313"/>
      <c r="G31" s="313"/>
      <c r="H31" s="313"/>
      <c r="I31" s="313"/>
      <c r="J31" s="320"/>
      <c r="K31" s="305">
        <f t="shared" si="0"/>
        <v>0</v>
      </c>
    </row>
    <row r="32" spans="1:11" ht="15.75" x14ac:dyDescent="0.25">
      <c r="A32" s="321"/>
      <c r="B32" s="322" t="s">
        <v>3088</v>
      </c>
      <c r="C32" s="321"/>
      <c r="D32" s="323">
        <f>SUM(D14:D31)</f>
        <v>-11453443.560000001</v>
      </c>
      <c r="E32" s="323">
        <f t="shared" ref="E32:K32" si="1">SUM(E14:E31)</f>
        <v>0</v>
      </c>
      <c r="F32" s="323">
        <f t="shared" si="1"/>
        <v>306180.52068999998</v>
      </c>
      <c r="G32" s="323">
        <f t="shared" si="1"/>
        <v>0</v>
      </c>
      <c r="H32" s="323">
        <f t="shared" si="1"/>
        <v>11585389.361029999</v>
      </c>
      <c r="I32" s="323">
        <f t="shared" si="1"/>
        <v>0</v>
      </c>
      <c r="J32" s="323">
        <f t="shared" si="1"/>
        <v>0</v>
      </c>
      <c r="K32" s="323">
        <f t="shared" si="1"/>
        <v>438126.32171999826</v>
      </c>
    </row>
    <row r="33" spans="1:11" ht="16.5" x14ac:dyDescent="0.25">
      <c r="A33" s="324"/>
      <c r="B33" s="325" t="s">
        <v>3089</v>
      </c>
      <c r="C33" s="326"/>
      <c r="D33" s="327">
        <f>+D32+D12+D13</f>
        <v>800</v>
      </c>
      <c r="E33" s="327">
        <f t="shared" ref="E33:K33" si="2">+E32+E12+E13</f>
        <v>0</v>
      </c>
      <c r="F33" s="327">
        <f t="shared" si="2"/>
        <v>470951.93068999995</v>
      </c>
      <c r="G33" s="327">
        <f t="shared" si="2"/>
        <v>0</v>
      </c>
      <c r="H33" s="327">
        <f t="shared" si="2"/>
        <v>2452037.9299899992</v>
      </c>
      <c r="I33" s="327">
        <f t="shared" si="2"/>
        <v>0</v>
      </c>
      <c r="J33" s="327">
        <f t="shared" si="2"/>
        <v>0</v>
      </c>
      <c r="K33" s="327">
        <f t="shared" si="2"/>
        <v>2923789.860679999</v>
      </c>
    </row>
    <row r="34" spans="1:11" ht="16.5" x14ac:dyDescent="0.25">
      <c r="A34" s="281"/>
      <c r="B34" s="328" t="s">
        <v>3090</v>
      </c>
      <c r="C34" s="329"/>
      <c r="D34" s="329"/>
      <c r="E34" s="9"/>
      <c r="F34" s="9"/>
      <c r="G34" s="9"/>
      <c r="H34" s="9"/>
      <c r="I34" s="117"/>
      <c r="J34" s="117"/>
      <c r="K34" s="117"/>
    </row>
    <row r="35" spans="1:11" ht="16.5" x14ac:dyDescent="0.25">
      <c r="A35" s="281"/>
      <c r="B35" s="117"/>
      <c r="C35" s="117"/>
      <c r="D35" s="117"/>
      <c r="E35" s="9"/>
      <c r="F35" s="9"/>
      <c r="G35" s="9"/>
      <c r="H35" s="9"/>
      <c r="I35" s="117"/>
      <c r="J35" s="117"/>
      <c r="K35" s="117"/>
    </row>
    <row r="36" spans="1:11" x14ac:dyDescent="0.25">
      <c r="A36" s="153"/>
      <c r="B36" s="330"/>
      <c r="C36" s="330"/>
      <c r="D36" s="20"/>
      <c r="E36" s="115"/>
      <c r="F36" s="115"/>
      <c r="G36" s="20"/>
      <c r="H36" s="115"/>
      <c r="I36" s="115"/>
      <c r="J36" s="20"/>
      <c r="K36" s="20"/>
    </row>
    <row r="37" spans="1:11" x14ac:dyDescent="0.25">
      <c r="A37" s="153"/>
      <c r="B37" s="330"/>
      <c r="C37" s="330"/>
      <c r="D37" s="20"/>
      <c r="E37" s="115"/>
      <c r="F37" s="115"/>
      <c r="G37" s="20"/>
      <c r="H37" s="115"/>
      <c r="I37" s="115"/>
      <c r="J37" s="20"/>
      <c r="K37" s="20"/>
    </row>
    <row r="38" spans="1:11" x14ac:dyDescent="0.25">
      <c r="A38" s="153"/>
      <c r="B38" s="330"/>
      <c r="C38" s="330"/>
      <c r="D38" s="20"/>
      <c r="E38" s="115"/>
      <c r="F38" s="115"/>
      <c r="G38" s="20"/>
      <c r="H38" s="115"/>
      <c r="I38" s="115"/>
      <c r="J38" s="20"/>
      <c r="K38" s="20"/>
    </row>
    <row r="39" spans="1:11" ht="16.5" x14ac:dyDescent="0.25">
      <c r="A39" s="153"/>
      <c r="B39" s="181" t="s">
        <v>1676</v>
      </c>
      <c r="C39" s="181"/>
      <c r="D39" s="20"/>
      <c r="E39" s="331" t="s">
        <v>1683</v>
      </c>
      <c r="F39" s="331"/>
      <c r="G39" s="20"/>
      <c r="H39" s="331" t="s">
        <v>1582</v>
      </c>
      <c r="I39" s="331"/>
      <c r="J39" s="20"/>
      <c r="K39" s="20"/>
    </row>
  </sheetData>
  <protectedRanges>
    <protectedRange sqref="D12:J31" name="Rango1_1"/>
    <protectedRange sqref="E36:F36 H36:I36 A36:C36" name="Rango2_1_1"/>
  </protectedRanges>
  <mergeCells count="29">
    <mergeCell ref="A5:K5"/>
    <mergeCell ref="A2:K2"/>
    <mergeCell ref="I10:I11"/>
    <mergeCell ref="J10:J11"/>
    <mergeCell ref="K10:K11"/>
    <mergeCell ref="A13:K13"/>
    <mergeCell ref="B39:C39"/>
    <mergeCell ref="E39:F39"/>
    <mergeCell ref="H39:I39"/>
    <mergeCell ref="G7:G9"/>
    <mergeCell ref="H7:H9"/>
    <mergeCell ref="I7:I9"/>
    <mergeCell ref="J7:J9"/>
    <mergeCell ref="K7:K9"/>
    <mergeCell ref="D10:D11"/>
    <mergeCell ref="E10:E11"/>
    <mergeCell ref="F10:F11"/>
    <mergeCell ref="G10:G11"/>
    <mergeCell ref="H10:H11"/>
    <mergeCell ref="B1:K1"/>
    <mergeCell ref="A3:K3"/>
    <mergeCell ref="B4:K4"/>
    <mergeCell ref="A6:K6"/>
    <mergeCell ref="A7:A11"/>
    <mergeCell ref="B7:B11"/>
    <mergeCell ref="C7:C11"/>
    <mergeCell ref="D7:D9"/>
    <mergeCell ref="E7:E9"/>
    <mergeCell ref="F7:F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4" workbookViewId="0">
      <selection activeCell="A3" sqref="A3:E3"/>
    </sheetView>
  </sheetViews>
  <sheetFormatPr baseColWidth="10" defaultRowHeight="15" x14ac:dyDescent="0.25"/>
  <cols>
    <col min="1" max="1" width="15" customWidth="1"/>
    <col min="2" max="2" width="95.140625" customWidth="1"/>
    <col min="4" max="4" width="21" bestFit="1" customWidth="1"/>
    <col min="5" max="5" width="23.7109375" bestFit="1" customWidth="1"/>
  </cols>
  <sheetData>
    <row r="1" spans="1:5" ht="18" x14ac:dyDescent="0.25">
      <c r="A1" s="333" t="s">
        <v>3092</v>
      </c>
      <c r="B1" s="333"/>
      <c r="C1" s="333"/>
      <c r="D1" s="333"/>
      <c r="E1" s="333"/>
    </row>
    <row r="2" spans="1:5" ht="18" x14ac:dyDescent="0.25">
      <c r="A2" s="333" t="s">
        <v>3136</v>
      </c>
      <c r="B2" s="333"/>
      <c r="C2" s="333"/>
      <c r="D2" s="333"/>
      <c r="E2" s="333"/>
    </row>
    <row r="3" spans="1:5" ht="16.5" x14ac:dyDescent="0.3">
      <c r="A3" s="334" t="s">
        <v>3080</v>
      </c>
      <c r="B3" s="334"/>
      <c r="C3" s="334"/>
      <c r="D3" s="334"/>
      <c r="E3" s="334"/>
    </row>
    <row r="4" spans="1:5" ht="16.5" x14ac:dyDescent="0.3">
      <c r="A4" s="335" t="s">
        <v>3093</v>
      </c>
      <c r="B4" s="336" t="s">
        <v>1677</v>
      </c>
      <c r="C4" s="337" t="s">
        <v>3094</v>
      </c>
      <c r="D4" s="337" t="str">
        <f>"Ejercicio " &amp; [2]Data!C1</f>
        <v>Ejercicio Periodo</v>
      </c>
      <c r="E4" s="337" t="e">
        <f>"Ejercicio " &amp; [2]Data!C1-1</f>
        <v>#VALUE!</v>
      </c>
    </row>
    <row r="5" spans="1:5" ht="16.5" x14ac:dyDescent="0.25">
      <c r="A5" s="338" t="s">
        <v>3095</v>
      </c>
      <c r="B5" s="339"/>
      <c r="C5" s="340"/>
      <c r="D5" s="341"/>
      <c r="E5" s="342"/>
    </row>
    <row r="6" spans="1:5" ht="16.5" x14ac:dyDescent="0.3">
      <c r="A6" s="343" t="s">
        <v>3096</v>
      </c>
      <c r="B6" s="344"/>
      <c r="C6" s="345">
        <v>76</v>
      </c>
      <c r="D6" s="346">
        <f>SUM(D7:D14)</f>
        <v>2441723.4363799999</v>
      </c>
      <c r="E6" s="346">
        <f>SUM(E7:E14)</f>
        <v>220712.8</v>
      </c>
    </row>
    <row r="7" spans="1:5" x14ac:dyDescent="0.25">
      <c r="A7" s="347"/>
      <c r="B7" s="348" t="s">
        <v>3097</v>
      </c>
      <c r="C7" s="349"/>
      <c r="D7" s="350">
        <v>0</v>
      </c>
      <c r="E7" s="350">
        <v>0</v>
      </c>
    </row>
    <row r="8" spans="1:5" x14ac:dyDescent="0.25">
      <c r="A8" s="351"/>
      <c r="B8" s="348" t="s">
        <v>3098</v>
      </c>
      <c r="C8" s="349"/>
      <c r="D8" s="350">
        <v>0</v>
      </c>
      <c r="E8" s="350">
        <v>0</v>
      </c>
    </row>
    <row r="9" spans="1:5" x14ac:dyDescent="0.25">
      <c r="A9" s="351"/>
      <c r="B9" s="352" t="s">
        <v>3099</v>
      </c>
      <c r="C9" s="353"/>
      <c r="D9" s="350">
        <v>0</v>
      </c>
      <c r="E9" s="350">
        <v>0</v>
      </c>
    </row>
    <row r="10" spans="1:5" ht="16.5" x14ac:dyDescent="0.3">
      <c r="A10" s="354"/>
      <c r="B10" s="355" t="s">
        <v>3100</v>
      </c>
      <c r="C10" s="356"/>
      <c r="D10" s="350">
        <v>0</v>
      </c>
      <c r="E10" s="350">
        <v>0</v>
      </c>
    </row>
    <row r="11" spans="1:5" x14ac:dyDescent="0.25">
      <c r="A11" s="357"/>
      <c r="B11" s="355" t="s">
        <v>3101</v>
      </c>
      <c r="C11" s="356"/>
      <c r="D11" s="350">
        <v>0</v>
      </c>
      <c r="E11" s="350">
        <v>0</v>
      </c>
    </row>
    <row r="12" spans="1:5" x14ac:dyDescent="0.25">
      <c r="A12" s="357"/>
      <c r="B12" s="358" t="s">
        <v>3102</v>
      </c>
      <c r="C12" s="356"/>
      <c r="D12" s="350">
        <v>2047560.76535</v>
      </c>
      <c r="E12" s="350">
        <v>180666.18</v>
      </c>
    </row>
    <row r="13" spans="1:5" x14ac:dyDescent="0.25">
      <c r="A13" s="357"/>
      <c r="B13" s="358" t="s">
        <v>3103</v>
      </c>
      <c r="C13" s="356"/>
      <c r="D13" s="350">
        <v>0</v>
      </c>
      <c r="E13" s="350">
        <v>0</v>
      </c>
    </row>
    <row r="14" spans="1:5" ht="16.5" x14ac:dyDescent="0.3">
      <c r="A14" s="359"/>
      <c r="B14" s="358" t="s">
        <v>3104</v>
      </c>
      <c r="C14" s="356"/>
      <c r="D14" s="350">
        <v>394162.67103000009</v>
      </c>
      <c r="E14" s="350">
        <v>40046.620000000003</v>
      </c>
    </row>
    <row r="15" spans="1:5" ht="16.5" x14ac:dyDescent="0.3">
      <c r="A15" s="343" t="s">
        <v>3105</v>
      </c>
      <c r="B15" s="344"/>
      <c r="C15" s="345">
        <v>77</v>
      </c>
      <c r="D15" s="346">
        <f>SUM(D16:D20)</f>
        <v>1946638.5984600002</v>
      </c>
      <c r="E15" s="346">
        <f>SUM(E16:E20)</f>
        <v>229008.23</v>
      </c>
    </row>
    <row r="16" spans="1:5" x14ac:dyDescent="0.25">
      <c r="A16" s="360"/>
      <c r="B16" s="355" t="s">
        <v>3106</v>
      </c>
      <c r="C16" s="356"/>
      <c r="D16" s="350">
        <v>680864.3012300001</v>
      </c>
      <c r="E16" s="350">
        <v>135027.81</v>
      </c>
    </row>
    <row r="17" spans="1:5" x14ac:dyDescent="0.25">
      <c r="A17" s="361"/>
      <c r="B17" s="355" t="s">
        <v>3107</v>
      </c>
      <c r="C17" s="356"/>
      <c r="D17" s="350">
        <v>161697.14402000001</v>
      </c>
      <c r="E17" s="350">
        <v>0</v>
      </c>
    </row>
    <row r="18" spans="1:5" x14ac:dyDescent="0.25">
      <c r="A18" s="361"/>
      <c r="B18" s="355" t="s">
        <v>3108</v>
      </c>
      <c r="C18" s="362"/>
      <c r="D18" s="350">
        <v>242303.12499999997</v>
      </c>
      <c r="E18" s="350">
        <v>0</v>
      </c>
    </row>
    <row r="19" spans="1:5" x14ac:dyDescent="0.25">
      <c r="A19" s="361"/>
      <c r="B19" s="355" t="s">
        <v>3109</v>
      </c>
      <c r="C19" s="362"/>
      <c r="D19" s="350">
        <v>561159.19900000002</v>
      </c>
      <c r="E19" s="350">
        <v>39565.629999999997</v>
      </c>
    </row>
    <row r="20" spans="1:5" x14ac:dyDescent="0.25">
      <c r="A20" s="363"/>
      <c r="B20" s="358" t="s">
        <v>3110</v>
      </c>
      <c r="C20" s="362"/>
      <c r="D20" s="350">
        <v>300614.82921000005</v>
      </c>
      <c r="E20" s="350">
        <v>54414.79</v>
      </c>
    </row>
    <row r="21" spans="1:5" ht="16.5" x14ac:dyDescent="0.25">
      <c r="A21" s="364" t="s">
        <v>3111</v>
      </c>
      <c r="B21" s="365"/>
      <c r="C21" s="366"/>
      <c r="D21" s="367">
        <f>+D6-D15</f>
        <v>495084.83791999961</v>
      </c>
      <c r="E21" s="367">
        <f>+E6-E15</f>
        <v>-8295.4300000000221</v>
      </c>
    </row>
    <row r="22" spans="1:5" ht="16.5" x14ac:dyDescent="0.25">
      <c r="A22" s="368"/>
      <c r="B22" s="369"/>
      <c r="C22" s="370"/>
      <c r="D22" s="371"/>
      <c r="E22" s="371"/>
    </row>
    <row r="23" spans="1:5" ht="16.5" x14ac:dyDescent="0.25">
      <c r="A23" s="338" t="s">
        <v>3112</v>
      </c>
      <c r="B23" s="339"/>
      <c r="C23" s="372"/>
      <c r="D23" s="373"/>
      <c r="E23" s="373"/>
    </row>
    <row r="24" spans="1:5" ht="16.5" x14ac:dyDescent="0.3">
      <c r="A24" s="343" t="s">
        <v>3096</v>
      </c>
      <c r="B24" s="344"/>
      <c r="C24" s="345">
        <v>78</v>
      </c>
      <c r="D24" s="346">
        <f>SUM(D25:D29)</f>
        <v>0</v>
      </c>
      <c r="E24" s="346">
        <f>SUM(E25:E29)</f>
        <v>0</v>
      </c>
    </row>
    <row r="25" spans="1:5" x14ac:dyDescent="0.25">
      <c r="A25" s="360"/>
      <c r="B25" s="348" t="s">
        <v>3113</v>
      </c>
      <c r="C25" s="349"/>
      <c r="D25" s="350">
        <v>0</v>
      </c>
      <c r="E25" s="350">
        <v>0</v>
      </c>
    </row>
    <row r="26" spans="1:5" x14ac:dyDescent="0.25">
      <c r="A26" s="374"/>
      <c r="B26" s="348" t="s">
        <v>3114</v>
      </c>
      <c r="C26" s="349"/>
      <c r="D26" s="350">
        <v>0</v>
      </c>
      <c r="E26" s="350">
        <v>0</v>
      </c>
    </row>
    <row r="27" spans="1:5" x14ac:dyDescent="0.25">
      <c r="A27" s="374"/>
      <c r="B27" s="348" t="s">
        <v>3115</v>
      </c>
      <c r="C27" s="349"/>
      <c r="D27" s="350">
        <v>0</v>
      </c>
      <c r="E27" s="350">
        <v>0</v>
      </c>
    </row>
    <row r="28" spans="1:5" x14ac:dyDescent="0.25">
      <c r="A28" s="361"/>
      <c r="B28" s="348" t="s">
        <v>3116</v>
      </c>
      <c r="C28" s="349"/>
      <c r="D28" s="350">
        <v>0</v>
      </c>
      <c r="E28" s="350">
        <v>0</v>
      </c>
    </row>
    <row r="29" spans="1:5" x14ac:dyDescent="0.25">
      <c r="A29" s="363"/>
      <c r="B29" s="358" t="s">
        <v>3117</v>
      </c>
      <c r="C29" s="356"/>
      <c r="D29" s="350">
        <v>0</v>
      </c>
      <c r="E29" s="350">
        <v>0</v>
      </c>
    </row>
    <row r="30" spans="1:5" ht="16.5" x14ac:dyDescent="0.3">
      <c r="A30" s="343" t="s">
        <v>3105</v>
      </c>
      <c r="B30" s="344"/>
      <c r="C30" s="345">
        <v>79</v>
      </c>
      <c r="D30" s="346">
        <f>SUM(D31:D35)</f>
        <v>47830.104549999996</v>
      </c>
      <c r="E30" s="346">
        <f>SUM(E31:E35)</f>
        <v>536.66999999999996</v>
      </c>
    </row>
    <row r="31" spans="1:5" x14ac:dyDescent="0.25">
      <c r="A31" s="360"/>
      <c r="B31" s="355" t="s">
        <v>3118</v>
      </c>
      <c r="C31" s="356"/>
      <c r="D31" s="350">
        <v>47830.104549999996</v>
      </c>
      <c r="E31" s="350">
        <v>536.66999999999996</v>
      </c>
    </row>
    <row r="32" spans="1:5" x14ac:dyDescent="0.25">
      <c r="A32" s="361"/>
      <c r="B32" s="358" t="s">
        <v>3119</v>
      </c>
      <c r="C32" s="356"/>
      <c r="D32" s="350">
        <v>0</v>
      </c>
      <c r="E32" s="350">
        <v>0</v>
      </c>
    </row>
    <row r="33" spans="1:5" x14ac:dyDescent="0.25">
      <c r="A33" s="361"/>
      <c r="B33" s="358" t="s">
        <v>3120</v>
      </c>
      <c r="C33" s="356"/>
      <c r="D33" s="350">
        <v>0</v>
      </c>
      <c r="E33" s="350">
        <v>0</v>
      </c>
    </row>
    <row r="34" spans="1:5" x14ac:dyDescent="0.25">
      <c r="A34" s="361"/>
      <c r="B34" s="355" t="s">
        <v>3121</v>
      </c>
      <c r="C34" s="356"/>
      <c r="D34" s="350">
        <v>0</v>
      </c>
      <c r="E34" s="350">
        <v>0</v>
      </c>
    </row>
    <row r="35" spans="1:5" x14ac:dyDescent="0.25">
      <c r="A35" s="363"/>
      <c r="B35" s="358" t="s">
        <v>3122</v>
      </c>
      <c r="C35" s="356"/>
      <c r="D35" s="350">
        <v>0</v>
      </c>
      <c r="E35" s="350">
        <v>0</v>
      </c>
    </row>
    <row r="36" spans="1:5" ht="16.5" x14ac:dyDescent="0.25">
      <c r="A36" s="364" t="s">
        <v>3123</v>
      </c>
      <c r="B36" s="365"/>
      <c r="C36" s="366"/>
      <c r="D36" s="367">
        <f>+D24-D30</f>
        <v>-47830.104549999996</v>
      </c>
      <c r="E36" s="367">
        <f>+E24-E30</f>
        <v>-536.66999999999996</v>
      </c>
    </row>
    <row r="37" spans="1:5" ht="16.5" x14ac:dyDescent="0.25">
      <c r="A37" s="368"/>
      <c r="B37" s="369"/>
      <c r="C37" s="375"/>
      <c r="D37" s="371"/>
      <c r="E37" s="371"/>
    </row>
    <row r="38" spans="1:5" ht="16.5" x14ac:dyDescent="0.25">
      <c r="A38" s="338" t="s">
        <v>3124</v>
      </c>
      <c r="B38" s="339"/>
      <c r="C38" s="372"/>
      <c r="D38" s="373"/>
      <c r="E38" s="373"/>
    </row>
    <row r="39" spans="1:5" ht="16.5" x14ac:dyDescent="0.3">
      <c r="A39" s="343" t="s">
        <v>3096</v>
      </c>
      <c r="B39" s="344"/>
      <c r="C39" s="345">
        <v>80</v>
      </c>
      <c r="D39" s="346">
        <f>SUM(D40:D42)</f>
        <v>0</v>
      </c>
      <c r="E39" s="346">
        <f>SUM(E40:E42)</f>
        <v>0</v>
      </c>
    </row>
    <row r="40" spans="1:5" x14ac:dyDescent="0.25">
      <c r="A40" s="360"/>
      <c r="B40" s="355" t="s">
        <v>3125</v>
      </c>
      <c r="C40" s="356"/>
      <c r="D40" s="350">
        <v>0</v>
      </c>
      <c r="E40" s="350">
        <v>0</v>
      </c>
    </row>
    <row r="41" spans="1:5" x14ac:dyDescent="0.25">
      <c r="A41" s="361"/>
      <c r="B41" s="355" t="s">
        <v>3126</v>
      </c>
      <c r="C41" s="356"/>
      <c r="D41" s="350">
        <v>0</v>
      </c>
      <c r="E41" s="350">
        <v>0</v>
      </c>
    </row>
    <row r="42" spans="1:5" x14ac:dyDescent="0.25">
      <c r="A42" s="363"/>
      <c r="B42" s="358" t="s">
        <v>3127</v>
      </c>
      <c r="C42" s="356"/>
      <c r="D42" s="350">
        <v>0</v>
      </c>
      <c r="E42" s="350">
        <v>0</v>
      </c>
    </row>
    <row r="43" spans="1:5" ht="16.5" x14ac:dyDescent="0.3">
      <c r="A43" s="343" t="s">
        <v>3105</v>
      </c>
      <c r="B43" s="344"/>
      <c r="C43" s="345">
        <v>81</v>
      </c>
      <c r="D43" s="346">
        <f>SUM(D44:D46)</f>
        <v>0</v>
      </c>
      <c r="E43" s="346">
        <f>SUM(E44:E46)</f>
        <v>0</v>
      </c>
    </row>
    <row r="44" spans="1:5" x14ac:dyDescent="0.25">
      <c r="A44" s="360"/>
      <c r="B44" s="355" t="s">
        <v>3128</v>
      </c>
      <c r="C44" s="356"/>
      <c r="D44" s="350"/>
      <c r="E44" s="350">
        <v>0</v>
      </c>
    </row>
    <row r="45" spans="1:5" x14ac:dyDescent="0.25">
      <c r="A45" s="361"/>
      <c r="B45" s="358" t="s">
        <v>3129</v>
      </c>
      <c r="C45" s="356"/>
      <c r="D45" s="350">
        <v>0</v>
      </c>
      <c r="E45" s="350">
        <v>0</v>
      </c>
    </row>
    <row r="46" spans="1:5" x14ac:dyDescent="0.25">
      <c r="A46" s="363"/>
      <c r="B46" s="358" t="s">
        <v>3130</v>
      </c>
      <c r="C46" s="362"/>
      <c r="D46" s="350">
        <v>0</v>
      </c>
      <c r="E46" s="350">
        <v>0</v>
      </c>
    </row>
    <row r="47" spans="1:5" ht="16.5" x14ac:dyDescent="0.25">
      <c r="A47" s="364" t="s">
        <v>3131</v>
      </c>
      <c r="B47" s="365"/>
      <c r="C47" s="366"/>
      <c r="D47" s="367">
        <f>+D39-D43</f>
        <v>0</v>
      </c>
      <c r="E47" s="367">
        <f>+E39-E43</f>
        <v>0</v>
      </c>
    </row>
    <row r="48" spans="1:5" x14ac:dyDescent="0.25">
      <c r="A48" s="376"/>
      <c r="B48" s="376"/>
      <c r="C48" s="377"/>
      <c r="D48" s="378"/>
      <c r="E48" s="378"/>
    </row>
    <row r="49" spans="1:5" ht="16.5" x14ac:dyDescent="0.25">
      <c r="A49" s="379" t="s">
        <v>3132</v>
      </c>
      <c r="B49" s="380"/>
      <c r="C49" s="381"/>
      <c r="D49" s="382">
        <f>+D21+D36+D47</f>
        <v>447254.73336999962</v>
      </c>
      <c r="E49" s="382">
        <f>+E21+E36+E47</f>
        <v>-8832.1000000000222</v>
      </c>
    </row>
    <row r="50" spans="1:5" ht="16.5" x14ac:dyDescent="0.25">
      <c r="A50" s="383"/>
      <c r="B50" s="383"/>
      <c r="C50" s="384"/>
      <c r="D50" s="385"/>
      <c r="E50" s="385"/>
    </row>
    <row r="51" spans="1:5" ht="16.5" x14ac:dyDescent="0.25">
      <c r="A51" s="386" t="s">
        <v>3133</v>
      </c>
      <c r="B51" s="386"/>
      <c r="C51" s="387"/>
      <c r="D51" s="388">
        <v>-3393.1310000000008</v>
      </c>
      <c r="E51" s="388">
        <v>823.39</v>
      </c>
    </row>
    <row r="52" spans="1:5" ht="16.5" x14ac:dyDescent="0.3">
      <c r="A52" s="389" t="s">
        <v>3134</v>
      </c>
      <c r="B52" s="390"/>
      <c r="C52" s="362"/>
      <c r="D52" s="388">
        <v>568840.06000000006</v>
      </c>
      <c r="E52" s="388">
        <v>575545.62</v>
      </c>
    </row>
    <row r="53" spans="1:5" ht="15.75" x14ac:dyDescent="0.25">
      <c r="A53" s="391" t="s">
        <v>3135</v>
      </c>
      <c r="B53" s="392"/>
      <c r="C53" s="393">
        <v>82</v>
      </c>
      <c r="D53" s="394">
        <f>+D49+D51+D52</f>
        <v>1012701.6623699997</v>
      </c>
      <c r="E53" s="394">
        <f>+E49+E51+E52</f>
        <v>567536.90999999992</v>
      </c>
    </row>
    <row r="54" spans="1:5" x14ac:dyDescent="0.25">
      <c r="A54" s="376"/>
      <c r="B54" s="376"/>
      <c r="C54" s="377"/>
      <c r="D54" s="395"/>
      <c r="E54" s="395"/>
    </row>
    <row r="55" spans="1:5" x14ac:dyDescent="0.25">
      <c r="A55" s="376"/>
      <c r="B55" s="35"/>
      <c r="C55" s="377"/>
      <c r="D55" s="395"/>
      <c r="E55" s="395"/>
    </row>
    <row r="56" spans="1:5" x14ac:dyDescent="0.25">
      <c r="A56" s="396"/>
      <c r="B56" s="35"/>
      <c r="C56" s="377"/>
      <c r="D56" s="395"/>
      <c r="E56" s="395"/>
    </row>
    <row r="57" spans="1:5" x14ac:dyDescent="0.25">
      <c r="A57" s="396"/>
      <c r="B57" s="35"/>
      <c r="C57" s="377"/>
      <c r="D57" s="395"/>
      <c r="E57" s="395"/>
    </row>
    <row r="58" spans="1:5" ht="16.5" x14ac:dyDescent="0.3">
      <c r="A58" s="396"/>
      <c r="B58" s="85" t="s">
        <v>1580</v>
      </c>
      <c r="C58" s="397"/>
      <c r="D58" s="398"/>
      <c r="E58" s="398"/>
    </row>
    <row r="59" spans="1:5" ht="16.5" x14ac:dyDescent="0.3">
      <c r="A59" s="398"/>
      <c r="B59" s="41"/>
      <c r="C59" s="397"/>
      <c r="D59" s="398"/>
      <c r="E59" s="398"/>
    </row>
    <row r="60" spans="1:5" ht="16.5" x14ac:dyDescent="0.3">
      <c r="A60" s="398"/>
      <c r="B60" s="35"/>
      <c r="C60" s="397"/>
      <c r="D60" s="398"/>
      <c r="E60" s="398"/>
    </row>
    <row r="61" spans="1:5" ht="16.5" x14ac:dyDescent="0.3">
      <c r="A61" s="398"/>
      <c r="B61" s="35"/>
      <c r="C61" s="397"/>
      <c r="D61" s="398"/>
      <c r="E61" s="398"/>
    </row>
    <row r="62" spans="1:5" ht="16.5" x14ac:dyDescent="0.3">
      <c r="A62" s="398"/>
      <c r="B62" s="35"/>
      <c r="C62" s="397"/>
      <c r="D62" s="398"/>
      <c r="E62" s="398"/>
    </row>
    <row r="63" spans="1:5" ht="16.5" x14ac:dyDescent="0.3">
      <c r="A63" s="398"/>
      <c r="B63" s="85" t="s">
        <v>1581</v>
      </c>
      <c r="C63" s="397"/>
      <c r="D63" s="398"/>
      <c r="E63" s="398"/>
    </row>
    <row r="64" spans="1:5" ht="16.5" x14ac:dyDescent="0.3">
      <c r="A64" s="398"/>
      <c r="B64" s="41"/>
      <c r="C64" s="397"/>
      <c r="D64" s="398"/>
      <c r="E64" s="398"/>
    </row>
    <row r="65" spans="1:5" ht="16.5" x14ac:dyDescent="0.3">
      <c r="A65" s="398"/>
      <c r="B65" s="35"/>
      <c r="C65" s="397"/>
      <c r="D65" s="398"/>
      <c r="E65" s="398"/>
    </row>
    <row r="66" spans="1:5" ht="16.5" x14ac:dyDescent="0.3">
      <c r="A66" s="398"/>
      <c r="B66" s="35"/>
      <c r="C66" s="397"/>
      <c r="D66" s="398"/>
      <c r="E66" s="398"/>
    </row>
    <row r="67" spans="1:5" ht="16.5" x14ac:dyDescent="0.3">
      <c r="A67" s="398"/>
      <c r="B67" s="35"/>
      <c r="C67" s="397"/>
      <c r="D67" s="398"/>
      <c r="E67" s="398"/>
    </row>
    <row r="68" spans="1:5" ht="16.5" x14ac:dyDescent="0.3">
      <c r="A68" s="398"/>
      <c r="B68" s="85" t="s">
        <v>1582</v>
      </c>
      <c r="C68" s="397"/>
      <c r="D68" s="398"/>
      <c r="E68" s="398"/>
    </row>
  </sheetData>
  <protectedRanges>
    <protectedRange sqref="E51:E52" name="Rango4_17"/>
    <protectedRange sqref="B60 B55 B65" name="Rango2_1_17"/>
    <protectedRange sqref="D7:E14 D16:E20 D25:E29 D31:E35 D40:E42 D44:E46" name="Rango1_17"/>
    <protectedRange sqref="D51:D52" name="Rango3_17"/>
  </protectedRanges>
  <mergeCells count="4">
    <mergeCell ref="A1:E1"/>
    <mergeCell ref="A2:E2"/>
    <mergeCell ref="A3:E3"/>
    <mergeCell ref="A51:B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election activeCell="F13" sqref="F13"/>
    </sheetView>
  </sheetViews>
  <sheetFormatPr baseColWidth="10" defaultRowHeight="15" x14ac:dyDescent="0.25"/>
  <sheetData>
    <row r="1" spans="1:15" ht="18" x14ac:dyDescent="0.25">
      <c r="A1" s="399" t="s">
        <v>3167</v>
      </c>
      <c r="B1" s="399"/>
      <c r="C1" s="399"/>
      <c r="D1" s="399"/>
      <c r="E1" s="399"/>
      <c r="F1" s="399"/>
      <c r="G1" s="399"/>
      <c r="H1" s="399"/>
      <c r="I1" s="399"/>
      <c r="J1" s="399"/>
      <c r="K1" s="399"/>
      <c r="L1" s="399"/>
      <c r="M1" s="399"/>
      <c r="N1" s="399"/>
      <c r="O1" s="399"/>
    </row>
    <row r="2" spans="1:15" ht="18" x14ac:dyDescent="0.25">
      <c r="A2" s="400" t="s">
        <v>3137</v>
      </c>
      <c r="B2" s="400"/>
      <c r="C2" s="400"/>
      <c r="D2" s="400"/>
      <c r="E2" s="400"/>
      <c r="F2" s="400"/>
      <c r="G2" s="400"/>
      <c r="H2" s="400"/>
      <c r="I2" s="400"/>
      <c r="J2" s="400"/>
      <c r="K2" s="400"/>
      <c r="L2" s="400"/>
      <c r="M2" s="400"/>
      <c r="N2" s="400"/>
      <c r="O2" s="400"/>
    </row>
    <row r="3" spans="1:15" ht="18" x14ac:dyDescent="0.25">
      <c r="A3" s="400" t="s">
        <v>3136</v>
      </c>
      <c r="B3" s="400"/>
      <c r="C3" s="400"/>
      <c r="D3" s="400"/>
      <c r="E3" s="400"/>
      <c r="F3" s="400"/>
      <c r="G3" s="400"/>
      <c r="H3" s="400"/>
      <c r="I3" s="400"/>
      <c r="J3" s="400"/>
      <c r="K3" s="400"/>
      <c r="L3" s="400"/>
      <c r="M3" s="400"/>
      <c r="N3" s="400"/>
      <c r="O3" s="400"/>
    </row>
    <row r="4" spans="1:15" ht="16.5" x14ac:dyDescent="0.3">
      <c r="A4" s="401" t="s">
        <v>3138</v>
      </c>
      <c r="B4" s="401"/>
      <c r="C4" s="401"/>
      <c r="D4" s="401"/>
      <c r="E4" s="401"/>
      <c r="F4" s="401"/>
      <c r="G4" s="401"/>
      <c r="H4" s="401"/>
      <c r="I4" s="401"/>
      <c r="J4" s="401"/>
      <c r="K4" s="401"/>
      <c r="L4" s="401"/>
      <c r="M4" s="401"/>
      <c r="N4" s="401"/>
      <c r="O4" s="401"/>
    </row>
    <row r="5" spans="1:15" x14ac:dyDescent="0.25">
      <c r="A5" s="402" t="s">
        <v>3139</v>
      </c>
      <c r="B5" s="403" t="s">
        <v>3140</v>
      </c>
      <c r="C5" s="403" t="s">
        <v>3141</v>
      </c>
      <c r="D5" s="403"/>
      <c r="E5" s="403"/>
      <c r="F5" s="403" t="s">
        <v>3142</v>
      </c>
      <c r="G5" s="403"/>
      <c r="H5" s="403"/>
      <c r="I5" s="403"/>
      <c r="J5" s="403"/>
      <c r="K5" s="403"/>
      <c r="L5" s="403" t="s">
        <v>3143</v>
      </c>
      <c r="M5" s="403"/>
      <c r="N5" s="403" t="s">
        <v>3144</v>
      </c>
      <c r="O5" s="403" t="s">
        <v>3145</v>
      </c>
    </row>
    <row r="6" spans="1:15" x14ac:dyDescent="0.25">
      <c r="A6" s="402"/>
      <c r="B6" s="403"/>
      <c r="C6" s="403"/>
      <c r="D6" s="403"/>
      <c r="E6" s="403"/>
      <c r="F6" s="403" t="s">
        <v>852</v>
      </c>
      <c r="G6" s="403"/>
      <c r="H6" s="403"/>
      <c r="I6" s="403" t="s">
        <v>3146</v>
      </c>
      <c r="J6" s="403"/>
      <c r="K6" s="403"/>
      <c r="L6" s="403"/>
      <c r="M6" s="403"/>
      <c r="N6" s="403"/>
      <c r="O6" s="403"/>
    </row>
    <row r="7" spans="1:15" ht="38.25" x14ac:dyDescent="0.25">
      <c r="A7" s="402"/>
      <c r="B7" s="403"/>
      <c r="C7" s="404" t="e">
        <f>"Saldo al Cierre 31/12/"&amp;[3]Data!C2-1</f>
        <v>#VALUE!</v>
      </c>
      <c r="D7" s="404" t="s">
        <v>3147</v>
      </c>
      <c r="E7" s="404" t="str">
        <f>"Saldo Ajustado al 1/01/"&amp;[3]Data!C2</f>
        <v>Saldo Ajustado al 1/01/ados</v>
      </c>
      <c r="F7" s="404" t="s">
        <v>3148</v>
      </c>
      <c r="G7" s="404" t="s">
        <v>3149</v>
      </c>
      <c r="H7" s="405" t="s">
        <v>1747</v>
      </c>
      <c r="I7" s="404" t="s">
        <v>3148</v>
      </c>
      <c r="J7" s="404" t="s">
        <v>3149</v>
      </c>
      <c r="K7" s="405" t="s">
        <v>1747</v>
      </c>
      <c r="L7" s="404" t="s">
        <v>3150</v>
      </c>
      <c r="M7" s="404" t="s">
        <v>3151</v>
      </c>
      <c r="N7" s="403"/>
      <c r="O7" s="403"/>
    </row>
    <row r="8" spans="1:15" x14ac:dyDescent="0.25">
      <c r="A8" s="406" t="s">
        <v>3152</v>
      </c>
      <c r="B8" s="406"/>
      <c r="C8" s="407"/>
      <c r="D8" s="407"/>
      <c r="E8" s="407"/>
      <c r="F8" s="407"/>
      <c r="G8" s="407"/>
      <c r="H8" s="407"/>
      <c r="I8" s="407"/>
      <c r="J8" s="407"/>
      <c r="K8" s="407"/>
      <c r="L8" s="407"/>
      <c r="M8" s="407"/>
      <c r="N8" s="407"/>
      <c r="O8" s="407"/>
    </row>
    <row r="9" spans="1:15" x14ac:dyDescent="0.25">
      <c r="A9" s="408" t="s">
        <v>3153</v>
      </c>
      <c r="B9" s="408"/>
      <c r="C9" s="409"/>
      <c r="D9" s="409"/>
      <c r="E9" s="409"/>
      <c r="F9" s="409"/>
      <c r="G9" s="409"/>
      <c r="H9" s="409"/>
      <c r="I9" s="409"/>
      <c r="J9" s="409"/>
      <c r="K9" s="409"/>
      <c r="L9" s="409"/>
      <c r="M9" s="409"/>
      <c r="N9" s="409"/>
      <c r="O9" s="409"/>
    </row>
    <row r="10" spans="1:15" x14ac:dyDescent="0.25">
      <c r="A10" s="410" t="s">
        <v>3154</v>
      </c>
      <c r="B10" s="410"/>
      <c r="C10" s="411"/>
      <c r="D10" s="411"/>
      <c r="E10" s="411"/>
      <c r="F10" s="411"/>
      <c r="G10" s="411"/>
      <c r="H10" s="411"/>
      <c r="I10" s="411"/>
      <c r="J10" s="411"/>
      <c r="K10" s="411"/>
      <c r="L10" s="411"/>
      <c r="M10" s="411"/>
      <c r="N10" s="411"/>
      <c r="O10" s="411"/>
    </row>
    <row r="11" spans="1:15" x14ac:dyDescent="0.25">
      <c r="A11" s="412" t="s">
        <v>3155</v>
      </c>
      <c r="B11" s="413"/>
      <c r="C11" s="411"/>
      <c r="D11" s="411"/>
      <c r="E11" s="411"/>
      <c r="F11" s="411"/>
      <c r="G11" s="411"/>
      <c r="H11" s="411"/>
      <c r="I11" s="411"/>
      <c r="J11" s="411"/>
      <c r="K11" s="411"/>
      <c r="L11" s="411"/>
      <c r="M11" s="411"/>
      <c r="N11" s="411"/>
      <c r="O11" s="411"/>
    </row>
    <row r="12" spans="1:15" x14ac:dyDescent="0.25">
      <c r="A12" s="412" t="s">
        <v>3156</v>
      </c>
      <c r="B12" s="413"/>
      <c r="C12" s="411"/>
      <c r="D12" s="411"/>
      <c r="E12" s="411"/>
      <c r="F12" s="411"/>
      <c r="G12" s="411"/>
      <c r="H12" s="411"/>
      <c r="I12" s="411"/>
      <c r="J12" s="411"/>
      <c r="K12" s="411"/>
      <c r="L12" s="411"/>
      <c r="M12" s="411"/>
      <c r="N12" s="411"/>
      <c r="O12" s="411"/>
    </row>
    <row r="13" spans="1:15" x14ac:dyDescent="0.25">
      <c r="A13" s="412" t="s">
        <v>3157</v>
      </c>
      <c r="B13" s="413"/>
      <c r="C13" s="411"/>
      <c r="D13" s="411"/>
      <c r="E13" s="411"/>
      <c r="F13" s="411"/>
      <c r="G13" s="411"/>
      <c r="H13" s="411"/>
      <c r="I13" s="411"/>
      <c r="J13" s="411"/>
      <c r="K13" s="411"/>
      <c r="L13" s="411"/>
      <c r="M13" s="411"/>
      <c r="N13" s="411"/>
      <c r="O13" s="411"/>
    </row>
    <row r="14" spans="1:15" x14ac:dyDescent="0.25">
      <c r="A14" s="412" t="s">
        <v>3158</v>
      </c>
      <c r="B14" s="413"/>
      <c r="C14" s="411"/>
      <c r="D14" s="411"/>
      <c r="E14" s="411"/>
      <c r="F14" s="411"/>
      <c r="G14" s="411"/>
      <c r="H14" s="411"/>
      <c r="I14" s="411"/>
      <c r="J14" s="411"/>
      <c r="K14" s="411"/>
      <c r="L14" s="411"/>
      <c r="M14" s="411"/>
      <c r="N14" s="411"/>
      <c r="O14" s="411"/>
    </row>
    <row r="15" spans="1:15" x14ac:dyDescent="0.25">
      <c r="A15" s="410" t="s">
        <v>3159</v>
      </c>
      <c r="B15" s="410"/>
      <c r="C15" s="411"/>
      <c r="D15" s="411"/>
      <c r="E15" s="411"/>
      <c r="F15" s="411"/>
      <c r="G15" s="411"/>
      <c r="H15" s="411"/>
      <c r="I15" s="411"/>
      <c r="J15" s="411"/>
      <c r="K15" s="411"/>
      <c r="L15" s="411"/>
      <c r="M15" s="411"/>
      <c r="N15" s="411"/>
      <c r="O15" s="411"/>
    </row>
    <row r="16" spans="1:15" x14ac:dyDescent="0.25">
      <c r="A16" s="412" t="s">
        <v>3155</v>
      </c>
      <c r="B16" s="413"/>
      <c r="C16" s="411"/>
      <c r="D16" s="411"/>
      <c r="E16" s="411"/>
      <c r="F16" s="411"/>
      <c r="G16" s="411"/>
      <c r="H16" s="411"/>
      <c r="I16" s="411"/>
      <c r="J16" s="411"/>
      <c r="K16" s="411"/>
      <c r="L16" s="411"/>
      <c r="M16" s="411"/>
      <c r="N16" s="411"/>
      <c r="O16" s="411"/>
    </row>
    <row r="17" spans="1:15" x14ac:dyDescent="0.25">
      <c r="A17" s="412" t="s">
        <v>3156</v>
      </c>
      <c r="B17" s="413"/>
      <c r="C17" s="411"/>
      <c r="D17" s="411"/>
      <c r="E17" s="411"/>
      <c r="F17" s="411"/>
      <c r="G17" s="411"/>
      <c r="H17" s="411"/>
      <c r="I17" s="411"/>
      <c r="J17" s="411"/>
      <c r="K17" s="411"/>
      <c r="L17" s="411"/>
      <c r="M17" s="411"/>
      <c r="N17" s="411"/>
      <c r="O17" s="411"/>
    </row>
    <row r="18" spans="1:15" x14ac:dyDescent="0.25">
      <c r="A18" s="412" t="s">
        <v>3157</v>
      </c>
      <c r="B18" s="413"/>
      <c r="C18" s="411"/>
      <c r="D18" s="411"/>
      <c r="E18" s="411"/>
      <c r="F18" s="411"/>
      <c r="G18" s="411"/>
      <c r="H18" s="411"/>
      <c r="I18" s="411"/>
      <c r="J18" s="411"/>
      <c r="K18" s="411"/>
      <c r="L18" s="411"/>
      <c r="M18" s="411"/>
      <c r="N18" s="411"/>
      <c r="O18" s="411"/>
    </row>
    <row r="19" spans="1:15" x14ac:dyDescent="0.25">
      <c r="A19" s="412" t="s">
        <v>3158</v>
      </c>
      <c r="B19" s="413"/>
      <c r="C19" s="411"/>
      <c r="D19" s="411"/>
      <c r="E19" s="411"/>
      <c r="F19" s="411"/>
      <c r="G19" s="411"/>
      <c r="H19" s="411"/>
      <c r="I19" s="411"/>
      <c r="J19" s="411"/>
      <c r="K19" s="411"/>
      <c r="L19" s="411"/>
      <c r="M19" s="411"/>
      <c r="N19" s="411"/>
      <c r="O19" s="411"/>
    </row>
    <row r="20" spans="1:15" ht="51" x14ac:dyDescent="0.25">
      <c r="A20" s="414" t="s">
        <v>3160</v>
      </c>
      <c r="B20" s="414"/>
      <c r="C20" s="411"/>
      <c r="D20" s="411"/>
      <c r="E20" s="411"/>
      <c r="F20" s="411"/>
      <c r="G20" s="411"/>
      <c r="H20" s="411"/>
      <c r="I20" s="411"/>
      <c r="J20" s="411"/>
      <c r="K20" s="411"/>
      <c r="L20" s="411"/>
      <c r="M20" s="411"/>
      <c r="N20" s="411"/>
      <c r="O20" s="411"/>
    </row>
    <row r="21" spans="1:15" x14ac:dyDescent="0.25">
      <c r="A21" s="412" t="s">
        <v>3155</v>
      </c>
      <c r="B21" s="413"/>
      <c r="C21" s="411"/>
      <c r="D21" s="411"/>
      <c r="E21" s="411"/>
      <c r="F21" s="411"/>
      <c r="G21" s="411"/>
      <c r="H21" s="411"/>
      <c r="I21" s="411"/>
      <c r="J21" s="411"/>
      <c r="K21" s="411"/>
      <c r="L21" s="411"/>
      <c r="M21" s="411"/>
      <c r="N21" s="411"/>
      <c r="O21" s="411"/>
    </row>
    <row r="22" spans="1:15" x14ac:dyDescent="0.25">
      <c r="A22" s="412" t="s">
        <v>3156</v>
      </c>
      <c r="B22" s="413"/>
      <c r="C22" s="411"/>
      <c r="D22" s="411"/>
      <c r="E22" s="411"/>
      <c r="F22" s="411"/>
      <c r="G22" s="411"/>
      <c r="H22" s="411"/>
      <c r="I22" s="411"/>
      <c r="J22" s="411"/>
      <c r="K22" s="411"/>
      <c r="L22" s="411"/>
      <c r="M22" s="411"/>
      <c r="N22" s="411"/>
      <c r="O22" s="411"/>
    </row>
    <row r="23" spans="1:15" x14ac:dyDescent="0.25">
      <c r="A23" s="412" t="s">
        <v>3157</v>
      </c>
      <c r="B23" s="413"/>
      <c r="C23" s="411"/>
      <c r="D23" s="411"/>
      <c r="E23" s="411"/>
      <c r="F23" s="411"/>
      <c r="G23" s="411"/>
      <c r="H23" s="411"/>
      <c r="I23" s="411"/>
      <c r="J23" s="411"/>
      <c r="K23" s="411"/>
      <c r="L23" s="411"/>
      <c r="M23" s="411"/>
      <c r="N23" s="411"/>
      <c r="O23" s="411"/>
    </row>
    <row r="24" spans="1:15" x14ac:dyDescent="0.25">
      <c r="A24" s="412" t="s">
        <v>3158</v>
      </c>
      <c r="B24" s="413"/>
      <c r="C24" s="411"/>
      <c r="D24" s="411"/>
      <c r="E24" s="411"/>
      <c r="F24" s="411"/>
      <c r="G24" s="411"/>
      <c r="H24" s="411"/>
      <c r="I24" s="411"/>
      <c r="J24" s="411"/>
      <c r="K24" s="411"/>
      <c r="L24" s="411"/>
      <c r="M24" s="411"/>
      <c r="N24" s="411"/>
      <c r="O24" s="411"/>
    </row>
    <row r="25" spans="1:15" x14ac:dyDescent="0.25">
      <c r="A25" s="410" t="s">
        <v>3161</v>
      </c>
      <c r="B25" s="410"/>
      <c r="C25" s="411"/>
      <c r="D25" s="411"/>
      <c r="E25" s="411"/>
      <c r="F25" s="411"/>
      <c r="G25" s="411"/>
      <c r="H25" s="411"/>
      <c r="I25" s="411"/>
      <c r="J25" s="411"/>
      <c r="K25" s="411"/>
      <c r="L25" s="411"/>
      <c r="M25" s="411"/>
      <c r="N25" s="411"/>
      <c r="O25" s="411"/>
    </row>
    <row r="26" spans="1:15" x14ac:dyDescent="0.25">
      <c r="A26" s="412" t="s">
        <v>3155</v>
      </c>
      <c r="B26" s="413"/>
      <c r="C26" s="411"/>
      <c r="D26" s="411"/>
      <c r="E26" s="411"/>
      <c r="F26" s="411"/>
      <c r="G26" s="411"/>
      <c r="H26" s="411"/>
      <c r="I26" s="411"/>
      <c r="J26" s="411"/>
      <c r="K26" s="411"/>
      <c r="L26" s="411"/>
      <c r="M26" s="411"/>
      <c r="N26" s="411"/>
      <c r="O26" s="411"/>
    </row>
    <row r="27" spans="1:15" x14ac:dyDescent="0.25">
      <c r="A27" s="412" t="s">
        <v>3156</v>
      </c>
      <c r="B27" s="413"/>
      <c r="C27" s="411"/>
      <c r="D27" s="411"/>
      <c r="E27" s="411"/>
      <c r="F27" s="411"/>
      <c r="G27" s="411"/>
      <c r="H27" s="411"/>
      <c r="I27" s="411"/>
      <c r="J27" s="411"/>
      <c r="K27" s="411"/>
      <c r="L27" s="411"/>
      <c r="M27" s="411"/>
      <c r="N27" s="411"/>
      <c r="O27" s="411"/>
    </row>
    <row r="28" spans="1:15" x14ac:dyDescent="0.25">
      <c r="A28" s="412" t="s">
        <v>3157</v>
      </c>
      <c r="B28" s="413"/>
      <c r="C28" s="411"/>
      <c r="D28" s="411"/>
      <c r="E28" s="411"/>
      <c r="F28" s="411"/>
      <c r="G28" s="411"/>
      <c r="H28" s="411"/>
      <c r="I28" s="411"/>
      <c r="J28" s="411"/>
      <c r="K28" s="411"/>
      <c r="L28" s="411"/>
      <c r="M28" s="411"/>
      <c r="N28" s="411"/>
      <c r="O28" s="411"/>
    </row>
    <row r="29" spans="1:15" x14ac:dyDescent="0.25">
      <c r="A29" s="412" t="s">
        <v>3158</v>
      </c>
      <c r="B29" s="413"/>
      <c r="C29" s="411"/>
      <c r="D29" s="411"/>
      <c r="E29" s="411"/>
      <c r="F29" s="411"/>
      <c r="G29" s="411"/>
      <c r="H29" s="411"/>
      <c r="I29" s="411"/>
      <c r="J29" s="411"/>
      <c r="K29" s="411"/>
      <c r="L29" s="411"/>
      <c r="M29" s="411"/>
      <c r="N29" s="411"/>
      <c r="O29" s="411"/>
    </row>
    <row r="30" spans="1:15" ht="51" x14ac:dyDescent="0.25">
      <c r="A30" s="414" t="s">
        <v>3162</v>
      </c>
      <c r="B30" s="414"/>
      <c r="C30" s="411"/>
      <c r="D30" s="411"/>
      <c r="E30" s="411"/>
      <c r="F30" s="411"/>
      <c r="G30" s="411"/>
      <c r="H30" s="411"/>
      <c r="I30" s="411"/>
      <c r="J30" s="411"/>
      <c r="K30" s="411"/>
      <c r="L30" s="411"/>
      <c r="M30" s="411"/>
      <c r="N30" s="411"/>
      <c r="O30" s="411"/>
    </row>
    <row r="31" spans="1:15" x14ac:dyDescent="0.25">
      <c r="A31" s="412" t="s">
        <v>3155</v>
      </c>
      <c r="B31" s="413"/>
      <c r="C31" s="411"/>
      <c r="D31" s="411"/>
      <c r="E31" s="411"/>
      <c r="F31" s="411"/>
      <c r="G31" s="411"/>
      <c r="H31" s="411"/>
      <c r="I31" s="411"/>
      <c r="J31" s="411"/>
      <c r="K31" s="411"/>
      <c r="L31" s="411"/>
      <c r="M31" s="411"/>
      <c r="N31" s="411"/>
      <c r="O31" s="411"/>
    </row>
    <row r="32" spans="1:15" x14ac:dyDescent="0.25">
      <c r="A32" s="412" t="s">
        <v>3156</v>
      </c>
      <c r="B32" s="413"/>
      <c r="C32" s="411"/>
      <c r="D32" s="411"/>
      <c r="E32" s="411"/>
      <c r="F32" s="411"/>
      <c r="G32" s="411"/>
      <c r="H32" s="411"/>
      <c r="I32" s="411"/>
      <c r="J32" s="411"/>
      <c r="K32" s="411"/>
      <c r="L32" s="411"/>
      <c r="M32" s="411"/>
      <c r="N32" s="411"/>
      <c r="O32" s="411"/>
    </row>
    <row r="33" spans="1:15" x14ac:dyDescent="0.25">
      <c r="A33" s="412" t="s">
        <v>3157</v>
      </c>
      <c r="B33" s="413"/>
      <c r="C33" s="411"/>
      <c r="D33" s="411"/>
      <c r="E33" s="411"/>
      <c r="F33" s="411"/>
      <c r="G33" s="411"/>
      <c r="H33" s="411"/>
      <c r="I33" s="411"/>
      <c r="J33" s="411"/>
      <c r="K33" s="411"/>
      <c r="L33" s="411"/>
      <c r="M33" s="411"/>
      <c r="N33" s="411"/>
      <c r="O33" s="411"/>
    </row>
    <row r="34" spans="1:15" x14ac:dyDescent="0.25">
      <c r="A34" s="412" t="s">
        <v>3158</v>
      </c>
      <c r="B34" s="413"/>
      <c r="C34" s="411"/>
      <c r="D34" s="411"/>
      <c r="E34" s="411"/>
      <c r="F34" s="411"/>
      <c r="G34" s="411"/>
      <c r="H34" s="411"/>
      <c r="I34" s="411"/>
      <c r="J34" s="411"/>
      <c r="K34" s="411"/>
      <c r="L34" s="411"/>
      <c r="M34" s="411"/>
      <c r="N34" s="411"/>
      <c r="O34" s="411"/>
    </row>
    <row r="35" spans="1:15" x14ac:dyDescent="0.25">
      <c r="A35" s="408" t="s">
        <v>3163</v>
      </c>
      <c r="B35" s="408"/>
      <c r="C35" s="409"/>
      <c r="D35" s="409"/>
      <c r="E35" s="409"/>
      <c r="F35" s="409"/>
      <c r="G35" s="409"/>
      <c r="H35" s="409"/>
      <c r="I35" s="409"/>
      <c r="J35" s="409"/>
      <c r="K35" s="409"/>
      <c r="L35" s="409"/>
      <c r="M35" s="409"/>
      <c r="N35" s="409"/>
      <c r="O35" s="409"/>
    </row>
    <row r="36" spans="1:15" x14ac:dyDescent="0.25">
      <c r="A36" s="410" t="s">
        <v>3154</v>
      </c>
      <c r="B36" s="410"/>
      <c r="C36" s="411"/>
      <c r="D36" s="415"/>
      <c r="E36" s="415"/>
      <c r="F36" s="415"/>
      <c r="G36" s="411"/>
      <c r="H36" s="411"/>
      <c r="I36" s="411"/>
      <c r="J36" s="411"/>
      <c r="K36" s="411"/>
      <c r="L36" s="411"/>
      <c r="M36" s="411"/>
      <c r="N36" s="411"/>
      <c r="O36" s="411"/>
    </row>
    <row r="37" spans="1:15" x14ac:dyDescent="0.25">
      <c r="A37" s="412" t="s">
        <v>3155</v>
      </c>
      <c r="B37" s="413"/>
      <c r="C37" s="411"/>
      <c r="D37" s="415"/>
      <c r="E37" s="415"/>
      <c r="F37" s="415"/>
      <c r="G37" s="415"/>
      <c r="H37" s="415"/>
      <c r="I37" s="415"/>
      <c r="J37" s="415"/>
      <c r="K37" s="415"/>
      <c r="L37" s="415"/>
      <c r="M37" s="415"/>
      <c r="N37" s="415"/>
      <c r="O37" s="415"/>
    </row>
    <row r="38" spans="1:15" x14ac:dyDescent="0.25">
      <c r="A38" s="412" t="s">
        <v>3164</v>
      </c>
      <c r="B38" s="413"/>
      <c r="C38" s="411"/>
      <c r="D38" s="415"/>
      <c r="E38" s="415"/>
      <c r="F38" s="415"/>
      <c r="G38" s="415"/>
      <c r="H38" s="415"/>
      <c r="I38" s="415"/>
      <c r="J38" s="415"/>
      <c r="K38" s="415"/>
      <c r="L38" s="415"/>
      <c r="M38" s="415"/>
      <c r="N38" s="415"/>
      <c r="O38" s="415"/>
    </row>
    <row r="39" spans="1:15" x14ac:dyDescent="0.25">
      <c r="A39" s="412" t="s">
        <v>3165</v>
      </c>
      <c r="B39" s="413"/>
      <c r="C39" s="411"/>
      <c r="D39" s="415"/>
      <c r="E39" s="415"/>
      <c r="F39" s="415"/>
      <c r="G39" s="415"/>
      <c r="H39" s="415"/>
      <c r="I39" s="415"/>
      <c r="J39" s="415"/>
      <c r="K39" s="415"/>
      <c r="L39" s="415"/>
      <c r="M39" s="415"/>
      <c r="N39" s="415"/>
      <c r="O39" s="415"/>
    </row>
    <row r="40" spans="1:15" x14ac:dyDescent="0.25">
      <c r="A40" s="412" t="s">
        <v>3166</v>
      </c>
      <c r="B40" s="413"/>
      <c r="C40" s="411"/>
      <c r="D40" s="415"/>
      <c r="E40" s="415"/>
      <c r="F40" s="415"/>
      <c r="G40" s="415"/>
      <c r="H40" s="415"/>
      <c r="I40" s="415"/>
      <c r="J40" s="415"/>
      <c r="K40" s="415"/>
      <c r="L40" s="415"/>
      <c r="M40" s="415"/>
      <c r="N40" s="415"/>
      <c r="O40" s="415"/>
    </row>
    <row r="41" spans="1:15" x14ac:dyDescent="0.25">
      <c r="A41" s="412" t="s">
        <v>3157</v>
      </c>
      <c r="B41" s="413"/>
      <c r="C41" s="411"/>
      <c r="D41" s="415"/>
      <c r="E41" s="415"/>
      <c r="F41" s="415"/>
      <c r="G41" s="415"/>
      <c r="H41" s="415"/>
      <c r="I41" s="415"/>
      <c r="J41" s="415"/>
      <c r="K41" s="415"/>
      <c r="L41" s="415"/>
      <c r="M41" s="415"/>
      <c r="N41" s="415"/>
      <c r="O41" s="415"/>
    </row>
    <row r="42" spans="1:15" x14ac:dyDescent="0.25">
      <c r="A42" s="410" t="s">
        <v>3159</v>
      </c>
      <c r="B42" s="410"/>
      <c r="C42" s="411"/>
      <c r="D42" s="415"/>
      <c r="E42" s="415"/>
      <c r="F42" s="415"/>
      <c r="G42" s="415"/>
      <c r="H42" s="415"/>
      <c r="I42" s="415"/>
      <c r="J42" s="415"/>
      <c r="K42" s="415"/>
      <c r="L42" s="415"/>
      <c r="M42" s="415"/>
      <c r="N42" s="415"/>
      <c r="O42" s="415"/>
    </row>
    <row r="43" spans="1:15" x14ac:dyDescent="0.25">
      <c r="A43" s="412" t="s">
        <v>3155</v>
      </c>
      <c r="B43" s="413"/>
      <c r="C43" s="411"/>
      <c r="D43" s="415"/>
      <c r="E43" s="415"/>
      <c r="F43" s="415"/>
      <c r="G43" s="415"/>
      <c r="H43" s="415"/>
      <c r="I43" s="415"/>
      <c r="J43" s="415"/>
      <c r="K43" s="415"/>
      <c r="L43" s="415"/>
      <c r="M43" s="415"/>
      <c r="N43" s="415"/>
      <c r="O43" s="415"/>
    </row>
    <row r="44" spans="1:15" x14ac:dyDescent="0.25">
      <c r="A44" s="412" t="s">
        <v>3164</v>
      </c>
      <c r="B44" s="413"/>
      <c r="C44" s="411"/>
      <c r="D44" s="415"/>
      <c r="E44" s="415"/>
      <c r="F44" s="415"/>
      <c r="G44" s="415"/>
      <c r="H44" s="415"/>
      <c r="I44" s="415"/>
      <c r="J44" s="415"/>
      <c r="K44" s="415"/>
      <c r="L44" s="415"/>
      <c r="M44" s="415"/>
      <c r="N44" s="415"/>
      <c r="O44" s="415"/>
    </row>
    <row r="45" spans="1:15" x14ac:dyDescent="0.25">
      <c r="A45" s="412" t="s">
        <v>3165</v>
      </c>
      <c r="B45" s="413"/>
      <c r="C45" s="415"/>
      <c r="D45" s="415"/>
      <c r="E45" s="415"/>
      <c r="F45" s="415"/>
      <c r="G45" s="415"/>
      <c r="H45" s="415"/>
      <c r="I45" s="415"/>
      <c r="J45" s="415"/>
      <c r="K45" s="415"/>
      <c r="L45" s="415"/>
      <c r="M45" s="415"/>
      <c r="N45" s="415"/>
      <c r="O45" s="415"/>
    </row>
    <row r="46" spans="1:15" x14ac:dyDescent="0.25">
      <c r="A46" s="412" t="s">
        <v>3166</v>
      </c>
      <c r="B46" s="413"/>
      <c r="C46" s="415"/>
      <c r="D46" s="415"/>
      <c r="E46" s="415"/>
      <c r="F46" s="415"/>
      <c r="G46" s="415"/>
      <c r="H46" s="415"/>
      <c r="I46" s="415"/>
      <c r="J46" s="415"/>
      <c r="K46" s="415"/>
      <c r="L46" s="415"/>
      <c r="M46" s="415"/>
      <c r="N46" s="415"/>
      <c r="O46" s="415"/>
    </row>
    <row r="47" spans="1:15" x14ac:dyDescent="0.25">
      <c r="A47" s="412" t="s">
        <v>3157</v>
      </c>
      <c r="B47" s="413"/>
      <c r="C47" s="415"/>
      <c r="D47" s="415"/>
      <c r="E47" s="415"/>
      <c r="F47" s="415"/>
      <c r="G47" s="415"/>
      <c r="H47" s="415"/>
      <c r="I47" s="415"/>
      <c r="J47" s="415"/>
      <c r="K47" s="415"/>
      <c r="L47" s="415"/>
      <c r="M47" s="415"/>
      <c r="N47" s="415"/>
      <c r="O47" s="415"/>
    </row>
    <row r="48" spans="1:15" ht="51" x14ac:dyDescent="0.25">
      <c r="A48" s="414" t="s">
        <v>3160</v>
      </c>
      <c r="B48" s="414"/>
      <c r="C48" s="415"/>
      <c r="D48" s="415"/>
      <c r="E48" s="415"/>
      <c r="F48" s="415"/>
      <c r="G48" s="415"/>
      <c r="H48" s="415"/>
      <c r="I48" s="415"/>
      <c r="J48" s="415"/>
      <c r="K48" s="415"/>
      <c r="L48" s="415"/>
      <c r="M48" s="415"/>
      <c r="N48" s="415"/>
      <c r="O48" s="415"/>
    </row>
    <row r="49" spans="1:15" x14ac:dyDescent="0.25">
      <c r="A49" s="412" t="s">
        <v>3155</v>
      </c>
      <c r="B49" s="413"/>
      <c r="C49" s="415"/>
      <c r="D49" s="415"/>
      <c r="E49" s="415"/>
      <c r="F49" s="415"/>
      <c r="G49" s="415"/>
      <c r="H49" s="415"/>
      <c r="I49" s="415"/>
      <c r="J49" s="415"/>
      <c r="K49" s="415"/>
      <c r="L49" s="415"/>
      <c r="M49" s="415"/>
      <c r="N49" s="415"/>
      <c r="O49" s="415"/>
    </row>
    <row r="50" spans="1:15" x14ac:dyDescent="0.25">
      <c r="A50" s="412" t="s">
        <v>3164</v>
      </c>
      <c r="B50" s="413"/>
      <c r="C50" s="415"/>
      <c r="D50" s="415"/>
      <c r="E50" s="415"/>
      <c r="F50" s="415"/>
      <c r="G50" s="415"/>
      <c r="H50" s="415"/>
      <c r="I50" s="415"/>
      <c r="J50" s="415"/>
      <c r="K50" s="415"/>
      <c r="L50" s="415"/>
      <c r="M50" s="415"/>
      <c r="N50" s="415"/>
      <c r="O50" s="415"/>
    </row>
    <row r="51" spans="1:15" x14ac:dyDescent="0.25">
      <c r="A51" s="412" t="s">
        <v>3165</v>
      </c>
      <c r="B51" s="413"/>
      <c r="C51" s="415"/>
      <c r="D51" s="415"/>
      <c r="E51" s="415"/>
      <c r="F51" s="415"/>
      <c r="G51" s="415"/>
      <c r="H51" s="415"/>
      <c r="I51" s="415"/>
      <c r="J51" s="415"/>
      <c r="K51" s="415"/>
      <c r="L51" s="415"/>
      <c r="M51" s="415"/>
      <c r="N51" s="415"/>
      <c r="O51" s="415"/>
    </row>
    <row r="52" spans="1:15" x14ac:dyDescent="0.25">
      <c r="A52" s="412" t="s">
        <v>3166</v>
      </c>
      <c r="B52" s="413"/>
      <c r="C52" s="415"/>
      <c r="D52" s="415"/>
      <c r="E52" s="415"/>
      <c r="F52" s="415"/>
      <c r="G52" s="415"/>
      <c r="H52" s="415"/>
      <c r="I52" s="415"/>
      <c r="J52" s="415"/>
      <c r="K52" s="415"/>
      <c r="L52" s="415"/>
      <c r="M52" s="415"/>
      <c r="N52" s="415"/>
      <c r="O52" s="415"/>
    </row>
    <row r="53" spans="1:15" x14ac:dyDescent="0.25">
      <c r="A53" s="412" t="s">
        <v>3157</v>
      </c>
      <c r="B53" s="413"/>
      <c r="C53" s="415"/>
      <c r="D53" s="415"/>
      <c r="E53" s="415"/>
      <c r="F53" s="415"/>
      <c r="G53" s="415"/>
      <c r="H53" s="415"/>
      <c r="I53" s="415"/>
      <c r="J53" s="415"/>
      <c r="K53" s="415"/>
      <c r="L53" s="415"/>
      <c r="M53" s="415"/>
      <c r="N53" s="415"/>
      <c r="O53" s="415"/>
    </row>
    <row r="54" spans="1:15" x14ac:dyDescent="0.25">
      <c r="A54" s="410" t="s">
        <v>3161</v>
      </c>
      <c r="B54" s="410"/>
      <c r="C54" s="415"/>
      <c r="D54" s="415"/>
      <c r="E54" s="415"/>
      <c r="F54" s="415"/>
      <c r="G54" s="415"/>
      <c r="H54" s="415"/>
      <c r="I54" s="415"/>
      <c r="J54" s="415"/>
      <c r="K54" s="415"/>
      <c r="L54" s="415"/>
      <c r="M54" s="415"/>
      <c r="N54" s="415"/>
      <c r="O54" s="415"/>
    </row>
    <row r="55" spans="1:15" x14ac:dyDescent="0.25">
      <c r="A55" s="412" t="s">
        <v>3155</v>
      </c>
      <c r="B55" s="413"/>
      <c r="C55" s="415"/>
      <c r="D55" s="415"/>
      <c r="E55" s="415"/>
      <c r="F55" s="415"/>
      <c r="G55" s="415"/>
      <c r="H55" s="415"/>
      <c r="I55" s="415"/>
      <c r="J55" s="415"/>
      <c r="K55" s="415"/>
      <c r="L55" s="415"/>
      <c r="M55" s="415"/>
      <c r="N55" s="415"/>
      <c r="O55" s="415"/>
    </row>
    <row r="56" spans="1:15" x14ac:dyDescent="0.25">
      <c r="A56" s="412" t="s">
        <v>3164</v>
      </c>
      <c r="B56" s="413"/>
      <c r="C56" s="415"/>
      <c r="D56" s="415"/>
      <c r="E56" s="415"/>
      <c r="F56" s="415"/>
      <c r="G56" s="415"/>
      <c r="H56" s="415"/>
      <c r="I56" s="415"/>
      <c r="J56" s="415"/>
      <c r="K56" s="415"/>
      <c r="L56" s="415"/>
      <c r="M56" s="415"/>
      <c r="N56" s="415"/>
      <c r="O56" s="415"/>
    </row>
    <row r="57" spans="1:15" x14ac:dyDescent="0.25">
      <c r="A57" s="412" t="s">
        <v>3165</v>
      </c>
      <c r="B57" s="413"/>
      <c r="C57" s="415"/>
      <c r="D57" s="415"/>
      <c r="E57" s="415"/>
      <c r="F57" s="415"/>
      <c r="G57" s="415"/>
      <c r="H57" s="415"/>
      <c r="I57" s="415"/>
      <c r="J57" s="415"/>
      <c r="K57" s="415"/>
      <c r="L57" s="415"/>
      <c r="M57" s="415"/>
      <c r="N57" s="415"/>
      <c r="O57" s="415"/>
    </row>
    <row r="58" spans="1:15" x14ac:dyDescent="0.25">
      <c r="A58" s="412" t="s">
        <v>3166</v>
      </c>
      <c r="B58" s="413"/>
      <c r="C58" s="415"/>
      <c r="D58" s="415"/>
      <c r="E58" s="415"/>
      <c r="F58" s="415"/>
      <c r="G58" s="415"/>
      <c r="H58" s="415"/>
      <c r="I58" s="415"/>
      <c r="J58" s="415"/>
      <c r="K58" s="415"/>
      <c r="L58" s="415"/>
      <c r="M58" s="415"/>
      <c r="N58" s="415"/>
      <c r="O58" s="415"/>
    </row>
    <row r="59" spans="1:15" x14ac:dyDescent="0.25">
      <c r="A59" s="412" t="s">
        <v>3157</v>
      </c>
      <c r="B59" s="413"/>
      <c r="C59" s="415"/>
      <c r="D59" s="415"/>
      <c r="E59" s="415"/>
      <c r="F59" s="415"/>
      <c r="G59" s="415"/>
      <c r="H59" s="415"/>
      <c r="I59" s="415"/>
      <c r="J59" s="415"/>
      <c r="K59" s="415"/>
      <c r="L59" s="415"/>
      <c r="M59" s="415"/>
      <c r="N59" s="415"/>
      <c r="O59" s="415"/>
    </row>
    <row r="60" spans="1:15" ht="51" x14ac:dyDescent="0.25">
      <c r="A60" s="414" t="s">
        <v>3162</v>
      </c>
      <c r="B60" s="414"/>
      <c r="C60" s="415"/>
      <c r="D60" s="415"/>
      <c r="E60" s="415"/>
      <c r="F60" s="415"/>
      <c r="G60" s="415"/>
      <c r="H60" s="415"/>
      <c r="I60" s="415"/>
      <c r="J60" s="415"/>
      <c r="K60" s="415"/>
      <c r="L60" s="415"/>
      <c r="M60" s="415"/>
      <c r="N60" s="415"/>
      <c r="O60" s="415"/>
    </row>
    <row r="61" spans="1:15" x14ac:dyDescent="0.25">
      <c r="A61" s="412" t="s">
        <v>3155</v>
      </c>
      <c r="B61" s="413"/>
      <c r="C61" s="415"/>
      <c r="D61" s="415"/>
      <c r="E61" s="415"/>
      <c r="F61" s="415"/>
      <c r="G61" s="415"/>
      <c r="H61" s="415"/>
      <c r="I61" s="415"/>
      <c r="J61" s="415"/>
      <c r="K61" s="415"/>
      <c r="L61" s="415"/>
      <c r="M61" s="415"/>
      <c r="N61" s="415"/>
      <c r="O61" s="415"/>
    </row>
    <row r="62" spans="1:15" x14ac:dyDescent="0.25">
      <c r="A62" s="412" t="s">
        <v>3164</v>
      </c>
      <c r="B62" s="413"/>
      <c r="C62" s="415"/>
      <c r="D62" s="415"/>
      <c r="E62" s="415"/>
      <c r="F62" s="415"/>
      <c r="G62" s="415"/>
      <c r="H62" s="415"/>
      <c r="I62" s="415"/>
      <c r="J62" s="415"/>
      <c r="K62" s="415"/>
      <c r="L62" s="415"/>
      <c r="M62" s="415"/>
      <c r="N62" s="415"/>
      <c r="O62" s="415"/>
    </row>
    <row r="63" spans="1:15" x14ac:dyDescent="0.25">
      <c r="A63" s="412" t="s">
        <v>3165</v>
      </c>
      <c r="B63" s="413"/>
      <c r="C63" s="415"/>
      <c r="D63" s="415"/>
      <c r="E63" s="415"/>
      <c r="F63" s="415"/>
      <c r="G63" s="415"/>
      <c r="H63" s="415"/>
      <c r="I63" s="415"/>
      <c r="J63" s="415"/>
      <c r="K63" s="415"/>
      <c r="L63" s="415"/>
      <c r="M63" s="415"/>
      <c r="N63" s="415"/>
      <c r="O63" s="415"/>
    </row>
    <row r="64" spans="1:15" x14ac:dyDescent="0.25">
      <c r="A64" s="412" t="s">
        <v>3166</v>
      </c>
      <c r="B64" s="413"/>
      <c r="C64" s="415"/>
      <c r="D64" s="415"/>
      <c r="E64" s="415"/>
      <c r="F64" s="415"/>
      <c r="G64" s="415"/>
      <c r="H64" s="415"/>
      <c r="I64" s="415"/>
      <c r="J64" s="415"/>
      <c r="K64" s="415"/>
      <c r="L64" s="415"/>
      <c r="M64" s="415"/>
      <c r="N64" s="415"/>
      <c r="O64" s="415"/>
    </row>
    <row r="65" spans="1:15" x14ac:dyDescent="0.25">
      <c r="A65" s="412" t="s">
        <v>3157</v>
      </c>
      <c r="B65" s="413"/>
      <c r="C65" s="415"/>
      <c r="D65" s="415"/>
      <c r="E65" s="415"/>
      <c r="F65" s="415"/>
      <c r="G65" s="415"/>
      <c r="H65" s="415"/>
      <c r="I65" s="415"/>
      <c r="J65" s="415"/>
      <c r="K65" s="415"/>
      <c r="L65" s="415"/>
      <c r="M65" s="415"/>
      <c r="N65" s="415"/>
      <c r="O65" s="415"/>
    </row>
    <row r="66" spans="1:15" ht="17.25" thickBot="1" x14ac:dyDescent="0.35">
      <c r="A66" s="416"/>
      <c r="B66" s="417"/>
      <c r="C66" s="418"/>
      <c r="D66" s="418"/>
      <c r="E66" s="419"/>
      <c r="F66" s="418"/>
      <c r="G66" s="418"/>
      <c r="H66" s="419"/>
      <c r="I66" s="418"/>
      <c r="J66" s="418"/>
      <c r="K66" s="419"/>
      <c r="L66" s="418"/>
      <c r="M66" s="419"/>
      <c r="N66" s="418"/>
      <c r="O66" s="420"/>
    </row>
    <row r="67" spans="1:15" ht="16.5" x14ac:dyDescent="0.3">
      <c r="A67" s="421"/>
      <c r="B67" s="421"/>
      <c r="C67" s="398"/>
      <c r="D67" s="398"/>
      <c r="E67" s="398"/>
      <c r="F67" s="398"/>
      <c r="G67" s="398"/>
      <c r="H67" s="398"/>
      <c r="I67" s="398"/>
      <c r="J67" s="398"/>
      <c r="K67" s="398"/>
      <c r="L67" s="398"/>
      <c r="M67" s="398"/>
      <c r="N67" s="398"/>
      <c r="O67" s="398"/>
    </row>
  </sheetData>
  <protectedRanges>
    <protectedRange sqref="B8:O67" name="Rango1"/>
  </protectedRanges>
  <mergeCells count="13">
    <mergeCell ref="O5:O7"/>
    <mergeCell ref="F6:H6"/>
    <mergeCell ref="I6:K6"/>
    <mergeCell ref="A1:O1"/>
    <mergeCell ref="A2:O2"/>
    <mergeCell ref="A3:O3"/>
    <mergeCell ref="A4:O4"/>
    <mergeCell ref="A5:A7"/>
    <mergeCell ref="B5:B7"/>
    <mergeCell ref="C5:E6"/>
    <mergeCell ref="F5:K5"/>
    <mergeCell ref="L5:M6"/>
    <mergeCell ref="N5:N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102"/>
  <sheetViews>
    <sheetView showGridLines="0" workbookViewId="0">
      <selection activeCell="A5" sqref="A5:U5"/>
    </sheetView>
  </sheetViews>
  <sheetFormatPr baseColWidth="10" defaultRowHeight="12.75" x14ac:dyDescent="0.25"/>
  <cols>
    <col min="1" max="1" width="9.42578125" style="20" customWidth="1"/>
    <col min="2" max="2" width="36.42578125" style="20" customWidth="1"/>
    <col min="3" max="4" width="17.7109375" style="19" customWidth="1"/>
    <col min="5" max="5" width="15.42578125" style="153" customWidth="1"/>
    <col min="6" max="6" width="14" style="153" customWidth="1"/>
    <col min="7" max="7" width="23.7109375" style="153" customWidth="1"/>
    <col min="8" max="13" width="17.7109375" style="19" customWidth="1"/>
    <col min="14" max="15" width="23.7109375" style="153" customWidth="1"/>
    <col min="16" max="16" width="16.85546875" style="19" customWidth="1"/>
    <col min="17" max="18" width="17.7109375" style="19" customWidth="1"/>
    <col min="19" max="19" width="16.42578125" style="153" customWidth="1"/>
    <col min="20" max="20" width="17.85546875" style="153" bestFit="1" customWidth="1"/>
    <col min="21" max="21" width="22.5703125" style="153" bestFit="1" customWidth="1"/>
    <col min="22" max="24" width="11.42578125" style="19"/>
    <col min="25" max="16384" width="11.42578125" style="20"/>
  </cols>
  <sheetData>
    <row r="1" spans="1:24" s="4" customFormat="1" ht="15.75" x14ac:dyDescent="0.25">
      <c r="C1" s="5"/>
      <c r="D1" s="5"/>
      <c r="E1" s="145"/>
      <c r="F1" s="145"/>
      <c r="G1" s="145"/>
      <c r="H1" s="5"/>
      <c r="I1" s="5"/>
      <c r="J1" s="5"/>
      <c r="K1" s="5"/>
      <c r="L1" s="5"/>
      <c r="M1" s="5"/>
      <c r="N1" s="145"/>
      <c r="O1" s="145"/>
      <c r="P1" s="5"/>
      <c r="Q1" s="5"/>
      <c r="R1" s="5"/>
      <c r="S1" s="145"/>
      <c r="T1" s="145"/>
      <c r="U1" s="145"/>
      <c r="V1" s="5"/>
      <c r="W1" s="5"/>
      <c r="X1" s="5"/>
    </row>
    <row r="2" spans="1:24" s="4" customFormat="1" ht="15.75" x14ac:dyDescent="0.25">
      <c r="A2" s="165" t="str">
        <f ca="1">Data!N1</f>
        <v/>
      </c>
      <c r="B2" s="165"/>
      <c r="C2" s="165"/>
      <c r="D2" s="165"/>
      <c r="E2" s="165"/>
      <c r="F2" s="165"/>
      <c r="G2" s="165"/>
      <c r="H2" s="165"/>
      <c r="I2" s="165"/>
      <c r="J2" s="165"/>
      <c r="K2" s="165"/>
      <c r="L2" s="165"/>
      <c r="M2" s="165"/>
      <c r="N2" s="165"/>
      <c r="O2" s="165"/>
      <c r="P2" s="165"/>
      <c r="Q2" s="165"/>
      <c r="R2" s="165"/>
      <c r="S2" s="165"/>
      <c r="T2" s="165"/>
      <c r="U2" s="165"/>
      <c r="V2" s="5"/>
      <c r="W2" s="5"/>
      <c r="X2" s="5"/>
    </row>
    <row r="3" spans="1:24" s="4" customFormat="1" ht="15.75" x14ac:dyDescent="0.25">
      <c r="A3" s="165" t="s">
        <v>853</v>
      </c>
      <c r="B3" s="165"/>
      <c r="C3" s="165"/>
      <c r="D3" s="165"/>
      <c r="E3" s="165"/>
      <c r="F3" s="165"/>
      <c r="G3" s="165"/>
      <c r="H3" s="165"/>
      <c r="I3" s="165"/>
      <c r="J3" s="165"/>
      <c r="K3" s="165"/>
      <c r="L3" s="165"/>
      <c r="M3" s="165"/>
      <c r="N3" s="165"/>
      <c r="O3" s="165"/>
      <c r="P3" s="165"/>
      <c r="Q3" s="165"/>
      <c r="R3" s="165"/>
      <c r="S3" s="165"/>
      <c r="T3" s="165"/>
      <c r="U3" s="165"/>
      <c r="V3" s="5"/>
      <c r="W3" s="5"/>
      <c r="X3" s="5"/>
    </row>
    <row r="4" spans="1:24" s="4" customFormat="1" ht="15.75" x14ac:dyDescent="0.25">
      <c r="A4" s="165" t="s">
        <v>3136</v>
      </c>
      <c r="B4" s="165"/>
      <c r="C4" s="165"/>
      <c r="D4" s="165"/>
      <c r="E4" s="165"/>
      <c r="F4" s="165"/>
      <c r="G4" s="165"/>
      <c r="H4" s="165"/>
      <c r="I4" s="165"/>
      <c r="J4" s="165"/>
      <c r="K4" s="165"/>
      <c r="L4" s="165"/>
      <c r="M4" s="165"/>
      <c r="N4" s="165"/>
      <c r="O4" s="165"/>
      <c r="P4" s="165"/>
      <c r="Q4" s="165"/>
      <c r="R4" s="165"/>
      <c r="S4" s="165"/>
      <c r="T4" s="165"/>
      <c r="U4" s="165"/>
      <c r="V4" s="5"/>
      <c r="W4" s="5"/>
      <c r="X4" s="5"/>
    </row>
    <row r="5" spans="1:24" s="4" customFormat="1" ht="15.75" x14ac:dyDescent="0.25">
      <c r="A5" s="166" t="s">
        <v>1584</v>
      </c>
      <c r="B5" s="166"/>
      <c r="C5" s="166"/>
      <c r="D5" s="166"/>
      <c r="E5" s="166"/>
      <c r="F5" s="166"/>
      <c r="G5" s="166"/>
      <c r="H5" s="166"/>
      <c r="I5" s="166"/>
      <c r="J5" s="166"/>
      <c r="K5" s="166"/>
      <c r="L5" s="166"/>
      <c r="M5" s="166"/>
      <c r="N5" s="166"/>
      <c r="O5" s="166"/>
      <c r="P5" s="166"/>
      <c r="Q5" s="166"/>
      <c r="R5" s="166"/>
      <c r="S5" s="166"/>
      <c r="T5" s="166"/>
      <c r="U5" s="166"/>
      <c r="V5" s="5"/>
      <c r="W5" s="5"/>
      <c r="X5" s="5"/>
    </row>
    <row r="6" spans="1:24" s="8" customFormat="1" ht="6.75" customHeight="1" x14ac:dyDescent="0.25">
      <c r="A6" s="6"/>
      <c r="B6" s="6"/>
      <c r="C6" s="6"/>
      <c r="D6" s="6"/>
      <c r="E6" s="6"/>
      <c r="F6" s="6"/>
      <c r="G6" s="6"/>
      <c r="H6" s="6"/>
      <c r="I6" s="6"/>
      <c r="J6" s="6"/>
      <c r="K6" s="6"/>
      <c r="L6" s="6"/>
      <c r="M6" s="6"/>
      <c r="N6" s="6"/>
      <c r="O6" s="6"/>
      <c r="P6" s="6"/>
      <c r="Q6" s="6"/>
      <c r="R6" s="6"/>
      <c r="S6" s="6"/>
      <c r="T6" s="6"/>
      <c r="U6" s="6"/>
      <c r="V6" s="7"/>
      <c r="W6" s="7"/>
      <c r="X6" s="7"/>
    </row>
    <row r="7" spans="1:24" s="9" customFormat="1" ht="15.75" customHeight="1" x14ac:dyDescent="0.25">
      <c r="A7" s="167" t="s">
        <v>1590</v>
      </c>
      <c r="B7" s="167" t="s">
        <v>854</v>
      </c>
      <c r="C7" s="168" t="s">
        <v>855</v>
      </c>
      <c r="D7" s="169"/>
      <c r="E7" s="169"/>
      <c r="F7" s="169"/>
      <c r="G7" s="170"/>
      <c r="H7" s="171" t="s">
        <v>856</v>
      </c>
      <c r="I7" s="172"/>
      <c r="J7" s="172"/>
      <c r="K7" s="172"/>
      <c r="L7" s="172"/>
      <c r="M7" s="172"/>
      <c r="N7" s="173"/>
      <c r="O7" s="174" t="s">
        <v>1591</v>
      </c>
      <c r="P7" s="175" t="s">
        <v>857</v>
      </c>
      <c r="Q7" s="176"/>
      <c r="R7" s="176"/>
      <c r="S7" s="176"/>
      <c r="T7" s="177"/>
      <c r="U7" s="174" t="s">
        <v>1592</v>
      </c>
    </row>
    <row r="8" spans="1:24" s="9" customFormat="1" ht="16.5" x14ac:dyDescent="0.25">
      <c r="A8" s="167"/>
      <c r="B8" s="167"/>
      <c r="C8" s="174" t="s">
        <v>858</v>
      </c>
      <c r="D8" s="174" t="s">
        <v>859</v>
      </c>
      <c r="E8" s="174" t="s">
        <v>860</v>
      </c>
      <c r="F8" s="174" t="s">
        <v>861</v>
      </c>
      <c r="G8" s="174" t="s">
        <v>1593</v>
      </c>
      <c r="H8" s="179" t="s">
        <v>862</v>
      </c>
      <c r="I8" s="179" t="s">
        <v>863</v>
      </c>
      <c r="J8" s="179" t="s">
        <v>859</v>
      </c>
      <c r="K8" s="179" t="s">
        <v>860</v>
      </c>
      <c r="L8" s="179" t="s">
        <v>861</v>
      </c>
      <c r="M8" s="179" t="s">
        <v>864</v>
      </c>
      <c r="N8" s="179" t="s">
        <v>1594</v>
      </c>
      <c r="O8" s="174"/>
      <c r="P8" s="178" t="s">
        <v>865</v>
      </c>
      <c r="Q8" s="178" t="s">
        <v>852</v>
      </c>
      <c r="R8" s="178" t="s">
        <v>863</v>
      </c>
      <c r="S8" s="178" t="s">
        <v>866</v>
      </c>
      <c r="T8" s="178" t="s">
        <v>867</v>
      </c>
      <c r="U8" s="174"/>
    </row>
    <row r="9" spans="1:24" s="9" customFormat="1" ht="16.5" x14ac:dyDescent="0.25">
      <c r="A9" s="167"/>
      <c r="B9" s="167"/>
      <c r="C9" s="174"/>
      <c r="D9" s="174"/>
      <c r="E9" s="174"/>
      <c r="F9" s="174"/>
      <c r="G9" s="174"/>
      <c r="H9" s="179"/>
      <c r="I9" s="179"/>
      <c r="J9" s="179"/>
      <c r="K9" s="179"/>
      <c r="L9" s="179"/>
      <c r="M9" s="179"/>
      <c r="N9" s="179"/>
      <c r="O9" s="174"/>
      <c r="P9" s="178"/>
      <c r="Q9" s="178"/>
      <c r="R9" s="178"/>
      <c r="S9" s="178"/>
      <c r="T9" s="178"/>
      <c r="U9" s="174"/>
    </row>
    <row r="10" spans="1:24" s="15" customFormat="1" ht="20.25" customHeight="1" x14ac:dyDescent="0.25">
      <c r="A10" s="10" t="s">
        <v>114</v>
      </c>
      <c r="B10" s="11" t="s">
        <v>868</v>
      </c>
      <c r="C10" s="12"/>
      <c r="D10" s="13"/>
      <c r="E10" s="146"/>
      <c r="F10" s="146"/>
      <c r="G10" s="146"/>
      <c r="H10" s="13"/>
      <c r="I10" s="13"/>
      <c r="J10" s="13"/>
      <c r="K10" s="13"/>
      <c r="L10" s="13"/>
      <c r="M10" s="13"/>
      <c r="N10" s="146"/>
      <c r="O10" s="146"/>
      <c r="P10" s="13"/>
      <c r="Q10" s="13"/>
      <c r="R10" s="13"/>
      <c r="S10" s="146"/>
      <c r="T10" s="146"/>
      <c r="U10" s="157"/>
      <c r="V10" s="14"/>
      <c r="W10" s="14"/>
      <c r="X10" s="14"/>
    </row>
    <row r="11" spans="1:24" ht="24" customHeight="1" x14ac:dyDescent="0.25">
      <c r="A11" s="16" t="s">
        <v>1595</v>
      </c>
      <c r="B11" s="17" t="s">
        <v>869</v>
      </c>
      <c r="C11" s="18">
        <f>SUM(C12:C23)</f>
        <v>1565050.1621000001</v>
      </c>
      <c r="D11" s="18">
        <f>SUM(D12:D23)</f>
        <v>0</v>
      </c>
      <c r="E11" s="147">
        <f>SUM(E12:E23)</f>
        <v>165274.5404</v>
      </c>
      <c r="F11" s="147">
        <f t="shared" ref="F11:T11" si="0">SUM(F12:F23)</f>
        <v>4328.32</v>
      </c>
      <c r="G11" s="147">
        <f>SUM(G12:G23)</f>
        <v>1725996.3825000001</v>
      </c>
      <c r="H11" s="18">
        <f t="shared" si="0"/>
        <v>25679.134190000001</v>
      </c>
      <c r="I11" s="18">
        <f t="shared" si="0"/>
        <v>-735.36138000000005</v>
      </c>
      <c r="J11" s="18">
        <f t="shared" si="0"/>
        <v>0</v>
      </c>
      <c r="K11" s="18">
        <f t="shared" si="0"/>
        <v>306180.52068999998</v>
      </c>
      <c r="L11" s="18">
        <f t="shared" si="0"/>
        <v>-109609.25343000001</v>
      </c>
      <c r="M11" s="18">
        <f t="shared" si="0"/>
        <v>-2586.2477899999999</v>
      </c>
      <c r="N11" s="147">
        <f t="shared" si="0"/>
        <v>218928.79227999999</v>
      </c>
      <c r="O11" s="147">
        <f t="shared" si="0"/>
        <v>1944925.17478</v>
      </c>
      <c r="P11" s="18">
        <f t="shared" si="0"/>
        <v>-259806.19386</v>
      </c>
      <c r="Q11" s="18">
        <f t="shared" si="0"/>
        <v>-40333.343359999999</v>
      </c>
      <c r="R11" s="18">
        <f t="shared" si="0"/>
        <v>-308.85176000000001</v>
      </c>
      <c r="S11" s="147">
        <f t="shared" si="0"/>
        <v>-40024.491600000001</v>
      </c>
      <c r="T11" s="147">
        <f t="shared" si="0"/>
        <v>-299830.68546000007</v>
      </c>
      <c r="U11" s="147">
        <f>SUM(U12:U23)</f>
        <v>1645094.4893199997</v>
      </c>
    </row>
    <row r="12" spans="1:24" ht="24" customHeight="1" x14ac:dyDescent="0.25">
      <c r="A12" s="21" t="s">
        <v>1596</v>
      </c>
      <c r="B12" s="22" t="s">
        <v>870</v>
      </c>
      <c r="C12" s="160">
        <v>199.9896</v>
      </c>
      <c r="D12" s="23"/>
      <c r="E12" s="161">
        <v>164771.41039999999</v>
      </c>
      <c r="F12" s="161"/>
      <c r="G12" s="154">
        <f>+C12+D12+E12-F12</f>
        <v>164971.4</v>
      </c>
      <c r="H12" s="162"/>
      <c r="I12" s="162"/>
      <c r="J12" s="24"/>
      <c r="K12" s="24">
        <f>266381647.94/1000</f>
        <v>266381.64794</v>
      </c>
      <c r="L12" s="24"/>
      <c r="M12" s="24"/>
      <c r="N12" s="154">
        <f t="shared" ref="N12:N54" si="1">SUM(H12:M12)</f>
        <v>266381.64794</v>
      </c>
      <c r="O12" s="155">
        <f>+G12+N12</f>
        <v>431353.04793999996</v>
      </c>
      <c r="P12" s="160">
        <v>0</v>
      </c>
      <c r="Q12" s="160">
        <v>0</v>
      </c>
      <c r="R12" s="160"/>
      <c r="S12" s="158">
        <f>+Q12-R12</f>
        <v>0</v>
      </c>
      <c r="T12" s="158">
        <f>+P12+S12</f>
        <v>0</v>
      </c>
      <c r="U12" s="158">
        <f>+O12+T12</f>
        <v>431353.04793999996</v>
      </c>
    </row>
    <row r="13" spans="1:24" ht="24" customHeight="1" x14ac:dyDescent="0.25">
      <c r="A13" s="21" t="s">
        <v>1597</v>
      </c>
      <c r="B13" s="22" t="s">
        <v>871</v>
      </c>
      <c r="C13" s="160">
        <v>1281546.5490299999</v>
      </c>
      <c r="D13" s="23"/>
      <c r="E13" s="161"/>
      <c r="F13" s="161"/>
      <c r="G13" s="154">
        <f>+C13+D13+E13-F13</f>
        <v>1281546.5490299999</v>
      </c>
      <c r="H13" s="160"/>
      <c r="I13" s="160"/>
      <c r="J13" s="23"/>
      <c r="K13" s="23">
        <f>39798872.75/1000</f>
        <v>39798.872750000002</v>
      </c>
      <c r="L13" s="23">
        <f>-109609253.43/1000</f>
        <v>-109609.25343000001</v>
      </c>
      <c r="M13" s="23"/>
      <c r="N13" s="154">
        <f t="shared" si="1"/>
        <v>-69810.380680000002</v>
      </c>
      <c r="O13" s="155">
        <f t="shared" ref="O13:O54" si="2">+G13+N13</f>
        <v>1211736.1683499999</v>
      </c>
      <c r="P13" s="160">
        <v>-89299.457650000011</v>
      </c>
      <c r="Q13" s="160">
        <f>-22243492.1/1000</f>
        <v>-22243.492100000003</v>
      </c>
      <c r="R13" s="160"/>
      <c r="S13" s="158">
        <f t="shared" ref="S13:S41" si="3">+Q13-R13</f>
        <v>-22243.492100000003</v>
      </c>
      <c r="T13" s="158">
        <f t="shared" ref="T13:T54" si="4">+P13+S13</f>
        <v>-111542.94975000001</v>
      </c>
      <c r="U13" s="158">
        <f t="shared" ref="U13:U54" si="5">+O13+T13</f>
        <v>1100193.2186</v>
      </c>
    </row>
    <row r="14" spans="1:24" ht="24" customHeight="1" x14ac:dyDescent="0.25">
      <c r="A14" s="21" t="s">
        <v>1598</v>
      </c>
      <c r="B14" s="22" t="s">
        <v>872</v>
      </c>
      <c r="C14" s="160">
        <v>16267.079300000001</v>
      </c>
      <c r="D14" s="23"/>
      <c r="E14" s="161"/>
      <c r="F14" s="161"/>
      <c r="G14" s="154">
        <f t="shared" ref="G14:G54" si="6">+C14+D14+E14-F14</f>
        <v>16267.079300000001</v>
      </c>
      <c r="H14" s="160"/>
      <c r="I14" s="160"/>
      <c r="J14" s="23"/>
      <c r="K14" s="23"/>
      <c r="L14" s="23"/>
      <c r="M14" s="23"/>
      <c r="N14" s="154">
        <f t="shared" si="1"/>
        <v>0</v>
      </c>
      <c r="O14" s="155">
        <f t="shared" si="2"/>
        <v>16267.079300000001</v>
      </c>
      <c r="P14" s="160">
        <v>-3714.6975499999999</v>
      </c>
      <c r="Q14" s="160">
        <f>-929844.48/1000</f>
        <v>-929.84447999999998</v>
      </c>
      <c r="R14" s="160"/>
      <c r="S14" s="158">
        <f t="shared" si="3"/>
        <v>-929.84447999999998</v>
      </c>
      <c r="T14" s="158">
        <f t="shared" si="4"/>
        <v>-4644.5420299999996</v>
      </c>
      <c r="U14" s="158">
        <f t="shared" si="5"/>
        <v>11622.537270000001</v>
      </c>
    </row>
    <row r="15" spans="1:24" ht="24" customHeight="1" x14ac:dyDescent="0.25">
      <c r="A15" s="21" t="s">
        <v>1599</v>
      </c>
      <c r="B15" s="22" t="s">
        <v>873</v>
      </c>
      <c r="C15" s="160">
        <v>60015.915999999997</v>
      </c>
      <c r="D15" s="23"/>
      <c r="E15" s="161"/>
      <c r="F15" s="161"/>
      <c r="G15" s="154">
        <f>+C15+D15+E15-F15</f>
        <v>60015.915999999997</v>
      </c>
      <c r="H15" s="160"/>
      <c r="I15" s="160"/>
      <c r="J15" s="23"/>
      <c r="K15" s="23"/>
      <c r="L15" s="23"/>
      <c r="M15" s="23"/>
      <c r="N15" s="154">
        <f t="shared" si="1"/>
        <v>0</v>
      </c>
      <c r="O15" s="155">
        <f t="shared" si="2"/>
        <v>60015.915999999997</v>
      </c>
      <c r="P15" s="160">
        <v>-53652.290639999999</v>
      </c>
      <c r="Q15" s="160">
        <f>-362033.76/1000</f>
        <v>-362.03376000000003</v>
      </c>
      <c r="R15" s="160"/>
      <c r="S15" s="158">
        <f t="shared" si="3"/>
        <v>-362.03376000000003</v>
      </c>
      <c r="T15" s="158">
        <f t="shared" si="4"/>
        <v>-54014.324399999998</v>
      </c>
      <c r="U15" s="158">
        <f t="shared" si="5"/>
        <v>6001.5915999999997</v>
      </c>
    </row>
    <row r="16" spans="1:24" ht="24" customHeight="1" x14ac:dyDescent="0.25">
      <c r="A16" s="21" t="s">
        <v>1600</v>
      </c>
      <c r="B16" s="22" t="s">
        <v>874</v>
      </c>
      <c r="C16" s="160">
        <v>23976.264050000002</v>
      </c>
      <c r="D16" s="23"/>
      <c r="E16" s="161"/>
      <c r="F16" s="161"/>
      <c r="G16" s="154">
        <f>+C16+D16+E16-F16</f>
        <v>23976.264050000002</v>
      </c>
      <c r="H16" s="160"/>
      <c r="I16" s="160"/>
      <c r="J16" s="23"/>
      <c r="K16" s="23"/>
      <c r="L16" s="23"/>
      <c r="M16" s="23"/>
      <c r="N16" s="154">
        <f t="shared" si="1"/>
        <v>0</v>
      </c>
      <c r="O16" s="155">
        <f t="shared" si="2"/>
        <v>23976.264050000002</v>
      </c>
      <c r="P16" s="160">
        <f>-12673.81952+0.01</f>
        <v>-12673.809519999999</v>
      </c>
      <c r="Q16" s="160">
        <f>-1364510.31/1000-0.02</f>
        <v>-1364.5303100000001</v>
      </c>
      <c r="R16" s="160"/>
      <c r="S16" s="158">
        <f t="shared" si="3"/>
        <v>-1364.5303100000001</v>
      </c>
      <c r="T16" s="158">
        <f t="shared" si="4"/>
        <v>-14038.339829999999</v>
      </c>
      <c r="U16" s="158">
        <f t="shared" si="5"/>
        <v>9937.9242200000026</v>
      </c>
    </row>
    <row r="17" spans="1:21" s="20" customFormat="1" ht="24" customHeight="1" x14ac:dyDescent="0.25">
      <c r="A17" s="21" t="s">
        <v>1601</v>
      </c>
      <c r="B17" s="22" t="s">
        <v>875</v>
      </c>
      <c r="C17" s="160">
        <v>72352.783370000005</v>
      </c>
      <c r="D17" s="23"/>
      <c r="E17" s="161">
        <v>503.13</v>
      </c>
      <c r="F17" s="161">
        <v>4328.32</v>
      </c>
      <c r="G17" s="154">
        <f t="shared" si="6"/>
        <v>68527.593370000017</v>
      </c>
      <c r="H17" s="160">
        <v>720.51242999999999</v>
      </c>
      <c r="I17" s="160"/>
      <c r="J17" s="23"/>
      <c r="K17" s="23"/>
      <c r="L17" s="23"/>
      <c r="M17" s="23"/>
      <c r="N17" s="154">
        <f t="shared" si="1"/>
        <v>720.51242999999999</v>
      </c>
      <c r="O17" s="155">
        <f t="shared" si="2"/>
        <v>69248.105800000019</v>
      </c>
      <c r="P17" s="160">
        <v>-28056.311389999999</v>
      </c>
      <c r="Q17" s="160">
        <f>-3713655/1000-1113492.03/1000+30.97</f>
        <v>-4796.1770299999998</v>
      </c>
      <c r="R17" s="160"/>
      <c r="S17" s="158">
        <f t="shared" si="3"/>
        <v>-4796.1770299999998</v>
      </c>
      <c r="T17" s="158">
        <f t="shared" si="4"/>
        <v>-32852.488420000001</v>
      </c>
      <c r="U17" s="158">
        <f t="shared" si="5"/>
        <v>36395.617380000018</v>
      </c>
    </row>
    <row r="18" spans="1:21" s="20" customFormat="1" ht="24" customHeight="1" x14ac:dyDescent="0.25">
      <c r="A18" s="21" t="s">
        <v>1602</v>
      </c>
      <c r="B18" s="22" t="s">
        <v>876</v>
      </c>
      <c r="C18" s="160">
        <v>104907.56125</v>
      </c>
      <c r="D18" s="23"/>
      <c r="E18" s="161"/>
      <c r="F18" s="161"/>
      <c r="G18" s="154">
        <f>+C18+D18+E18-F18</f>
        <v>104907.56125</v>
      </c>
      <c r="H18" s="160">
        <f>2486+20072062.37/1000+577699.12/1000+196247.8/1000+156317.36/1000+883561.34/1000</f>
        <v>24371.887990000003</v>
      </c>
      <c r="I18" s="160">
        <f>-735361.38/1000</f>
        <v>-735.36138000000005</v>
      </c>
      <c r="J18" s="23"/>
      <c r="K18" s="23"/>
      <c r="L18" s="23"/>
      <c r="M18" s="23">
        <f>-72212.39/1000-28035.4/1000-2486000/1000</f>
        <v>-2586.2477899999999</v>
      </c>
      <c r="N18" s="154">
        <f t="shared" si="1"/>
        <v>21050.278820000003</v>
      </c>
      <c r="O18" s="155">
        <f t="shared" si="2"/>
        <v>125957.84007000001</v>
      </c>
      <c r="P18" s="160">
        <v>-70136.195110000001</v>
      </c>
      <c r="Q18" s="160">
        <f>-7092510.07/1000-3088368.02/1000-26506.84/1000</f>
        <v>-10207.38493</v>
      </c>
      <c r="R18" s="160">
        <f>-308851.76/1000</f>
        <v>-308.85176000000001</v>
      </c>
      <c r="S18" s="158">
        <f t="shared" si="3"/>
        <v>-9898.5331700000006</v>
      </c>
      <c r="T18" s="158">
        <f t="shared" si="4"/>
        <v>-80034.728279999996</v>
      </c>
      <c r="U18" s="158">
        <f t="shared" si="5"/>
        <v>45923.11179000001</v>
      </c>
    </row>
    <row r="19" spans="1:21" s="20" customFormat="1" ht="24" customHeight="1" x14ac:dyDescent="0.25">
      <c r="A19" s="21" t="s">
        <v>1603</v>
      </c>
      <c r="B19" s="22" t="s">
        <v>877</v>
      </c>
      <c r="C19" s="160">
        <v>425.58499999999998</v>
      </c>
      <c r="D19" s="23"/>
      <c r="E19" s="161"/>
      <c r="F19" s="161"/>
      <c r="G19" s="154">
        <f t="shared" si="6"/>
        <v>425.58499999999998</v>
      </c>
      <c r="H19" s="160"/>
      <c r="I19" s="160"/>
      <c r="J19" s="23"/>
      <c r="K19" s="23"/>
      <c r="L19" s="23"/>
      <c r="M19" s="23"/>
      <c r="N19" s="154">
        <f t="shared" si="1"/>
        <v>0</v>
      </c>
      <c r="O19" s="155">
        <f t="shared" si="2"/>
        <v>425.58499999999998</v>
      </c>
      <c r="P19" s="160">
        <v>-306.6893</v>
      </c>
      <c r="Q19" s="160">
        <f>-19543.05/1000-5081.65/1000</f>
        <v>-24.624700000000001</v>
      </c>
      <c r="R19" s="160"/>
      <c r="S19" s="158">
        <f t="shared" si="3"/>
        <v>-24.624700000000001</v>
      </c>
      <c r="T19" s="158">
        <f t="shared" si="4"/>
        <v>-331.31400000000002</v>
      </c>
      <c r="U19" s="158">
        <f t="shared" si="5"/>
        <v>94.270999999999958</v>
      </c>
    </row>
    <row r="20" spans="1:21" s="20" customFormat="1" ht="24" customHeight="1" x14ac:dyDescent="0.25">
      <c r="A20" s="21" t="s">
        <v>1604</v>
      </c>
      <c r="B20" s="22" t="s">
        <v>878</v>
      </c>
      <c r="C20" s="160">
        <v>1629.278</v>
      </c>
      <c r="D20" s="23"/>
      <c r="E20" s="161"/>
      <c r="F20" s="161"/>
      <c r="G20" s="154">
        <f t="shared" si="6"/>
        <v>1629.278</v>
      </c>
      <c r="H20" s="160"/>
      <c r="I20" s="160"/>
      <c r="J20" s="23"/>
      <c r="K20" s="23"/>
      <c r="L20" s="23"/>
      <c r="M20" s="23"/>
      <c r="N20" s="154">
        <f t="shared" si="1"/>
        <v>0</v>
      </c>
      <c r="O20" s="155">
        <f t="shared" si="2"/>
        <v>1629.278</v>
      </c>
      <c r="P20" s="160">
        <v>-745.04263000000003</v>
      </c>
      <c r="Q20" s="160">
        <f>-170860.5/1000-56953.51/1000</f>
        <v>-227.81401</v>
      </c>
      <c r="R20" s="160"/>
      <c r="S20" s="158">
        <f t="shared" si="3"/>
        <v>-227.81401</v>
      </c>
      <c r="T20" s="158">
        <f t="shared" si="4"/>
        <v>-972.85663999999997</v>
      </c>
      <c r="U20" s="158">
        <f t="shared" si="5"/>
        <v>656.42136000000005</v>
      </c>
    </row>
    <row r="21" spans="1:21" s="20" customFormat="1" ht="24" customHeight="1" x14ac:dyDescent="0.25">
      <c r="A21" s="21" t="s">
        <v>1605</v>
      </c>
      <c r="B21" s="22" t="s">
        <v>879</v>
      </c>
      <c r="C21" s="160">
        <v>2054.0864999999999</v>
      </c>
      <c r="D21" s="23"/>
      <c r="E21" s="161"/>
      <c r="F21" s="161"/>
      <c r="G21" s="154">
        <f>+C21+D21+E21-F21</f>
        <v>2054.0864999999999</v>
      </c>
      <c r="H21" s="160"/>
      <c r="I21" s="160"/>
      <c r="J21" s="23"/>
      <c r="K21" s="23"/>
      <c r="L21" s="23"/>
      <c r="M21" s="23"/>
      <c r="N21" s="154">
        <f t="shared" si="1"/>
        <v>0</v>
      </c>
      <c r="O21" s="155">
        <f t="shared" si="2"/>
        <v>2054.0864999999999</v>
      </c>
      <c r="P21" s="160">
        <v>-961.01352999999995</v>
      </c>
      <c r="Q21" s="160">
        <f>-58121.35/1000-19136.55/1000</f>
        <v>-77.257900000000006</v>
      </c>
      <c r="R21" s="160"/>
      <c r="S21" s="158">
        <f t="shared" si="3"/>
        <v>-77.257900000000006</v>
      </c>
      <c r="T21" s="158">
        <f t="shared" si="4"/>
        <v>-1038.27143</v>
      </c>
      <c r="U21" s="158">
        <f t="shared" si="5"/>
        <v>1015.8150699999999</v>
      </c>
    </row>
    <row r="22" spans="1:21" s="20" customFormat="1" ht="24" customHeight="1" x14ac:dyDescent="0.25">
      <c r="A22" s="21" t="s">
        <v>1606</v>
      </c>
      <c r="B22" s="22" t="s">
        <v>880</v>
      </c>
      <c r="C22" s="160">
        <v>0</v>
      </c>
      <c r="D22" s="23"/>
      <c r="E22" s="161"/>
      <c r="F22" s="161"/>
      <c r="G22" s="154">
        <f>+C22+D22+E22-F22</f>
        <v>0</v>
      </c>
      <c r="H22" s="160"/>
      <c r="I22" s="160"/>
      <c r="J22" s="23"/>
      <c r="K22" s="23"/>
      <c r="L22" s="23"/>
      <c r="M22" s="23"/>
      <c r="N22" s="154">
        <f t="shared" si="1"/>
        <v>0</v>
      </c>
      <c r="O22" s="155">
        <f t="shared" si="2"/>
        <v>0</v>
      </c>
      <c r="P22" s="160">
        <v>0</v>
      </c>
      <c r="Q22" s="160">
        <v>0</v>
      </c>
      <c r="R22" s="160"/>
      <c r="S22" s="158">
        <f t="shared" si="3"/>
        <v>0</v>
      </c>
      <c r="T22" s="158">
        <f t="shared" si="4"/>
        <v>0</v>
      </c>
      <c r="U22" s="158">
        <f t="shared" si="5"/>
        <v>0</v>
      </c>
    </row>
    <row r="23" spans="1:21" s="20" customFormat="1" ht="24" customHeight="1" x14ac:dyDescent="0.25">
      <c r="A23" s="21" t="s">
        <v>1607</v>
      </c>
      <c r="B23" s="22" t="s">
        <v>881</v>
      </c>
      <c r="C23" s="160">
        <v>1675.07</v>
      </c>
      <c r="D23" s="23"/>
      <c r="E23" s="161"/>
      <c r="F23" s="161"/>
      <c r="G23" s="154">
        <f>+C23+D23+E23-F23</f>
        <v>1675.07</v>
      </c>
      <c r="H23" s="160">
        <f>333876.35/1000+252857.42/1000</f>
        <v>586.73377000000005</v>
      </c>
      <c r="I23" s="160"/>
      <c r="J23" s="23"/>
      <c r="K23" s="23"/>
      <c r="L23" s="23"/>
      <c r="M23" s="23"/>
      <c r="N23" s="154">
        <f t="shared" si="1"/>
        <v>586.73377000000005</v>
      </c>
      <c r="O23" s="155">
        <f t="shared" si="2"/>
        <v>2261.80377</v>
      </c>
      <c r="P23" s="160">
        <v>-260.68653999999998</v>
      </c>
      <c r="Q23" s="160">
        <f>(-45956.44+262.3)/1000-22.85-31.64</f>
        <v>-100.18414</v>
      </c>
      <c r="R23" s="160"/>
      <c r="S23" s="158">
        <f t="shared" si="3"/>
        <v>-100.18414</v>
      </c>
      <c r="T23" s="158">
        <f t="shared" si="4"/>
        <v>-360.87067999999999</v>
      </c>
      <c r="U23" s="158">
        <f t="shared" si="5"/>
        <v>1900.93309</v>
      </c>
    </row>
    <row r="24" spans="1:21" s="20" customFormat="1" ht="24" customHeight="1" x14ac:dyDescent="0.25">
      <c r="A24" s="16" t="s">
        <v>1608</v>
      </c>
      <c r="B24" s="17" t="s">
        <v>120</v>
      </c>
      <c r="C24" s="18">
        <f>SUM(C25:C29)</f>
        <v>0</v>
      </c>
      <c r="D24" s="18">
        <f>SUM(D25:D29)</f>
        <v>0</v>
      </c>
      <c r="E24" s="147">
        <f t="shared" ref="E24:T24" si="7">SUM(E25:E29)</f>
        <v>0</v>
      </c>
      <c r="F24" s="147">
        <f t="shared" si="7"/>
        <v>0</v>
      </c>
      <c r="G24" s="147">
        <f t="shared" si="7"/>
        <v>0</v>
      </c>
      <c r="H24" s="18">
        <f t="shared" si="7"/>
        <v>0</v>
      </c>
      <c r="I24" s="18">
        <f t="shared" si="7"/>
        <v>0</v>
      </c>
      <c r="J24" s="18">
        <f t="shared" si="7"/>
        <v>0</v>
      </c>
      <c r="K24" s="18">
        <f t="shared" si="7"/>
        <v>0</v>
      </c>
      <c r="L24" s="18">
        <f t="shared" si="7"/>
        <v>0</v>
      </c>
      <c r="M24" s="18">
        <f t="shared" si="7"/>
        <v>0</v>
      </c>
      <c r="N24" s="147">
        <f t="shared" si="7"/>
        <v>0</v>
      </c>
      <c r="O24" s="147">
        <f t="shared" si="7"/>
        <v>0</v>
      </c>
      <c r="P24" s="18">
        <f t="shared" si="7"/>
        <v>0</v>
      </c>
      <c r="Q24" s="18">
        <f t="shared" si="7"/>
        <v>0</v>
      </c>
      <c r="R24" s="18">
        <f t="shared" si="7"/>
        <v>0</v>
      </c>
      <c r="S24" s="147">
        <f t="shared" si="7"/>
        <v>0</v>
      </c>
      <c r="T24" s="147">
        <f t="shared" si="7"/>
        <v>0</v>
      </c>
      <c r="U24" s="147">
        <f>SUM(U25:U29)</f>
        <v>0</v>
      </c>
    </row>
    <row r="25" spans="1:21" s="20" customFormat="1" ht="24" customHeight="1" x14ac:dyDescent="0.25">
      <c r="A25" s="21" t="s">
        <v>1609</v>
      </c>
      <c r="B25" s="22" t="s">
        <v>870</v>
      </c>
      <c r="C25" s="23"/>
      <c r="D25" s="23"/>
      <c r="E25" s="148"/>
      <c r="F25" s="148"/>
      <c r="G25" s="154">
        <f>+C25+D25+E25-F25</f>
        <v>0</v>
      </c>
      <c r="H25" s="23"/>
      <c r="I25" s="23"/>
      <c r="J25" s="23"/>
      <c r="K25" s="23"/>
      <c r="L25" s="23"/>
      <c r="M25" s="23"/>
      <c r="N25" s="154">
        <f t="shared" si="1"/>
        <v>0</v>
      </c>
      <c r="O25" s="155">
        <f t="shared" si="2"/>
        <v>0</v>
      </c>
      <c r="P25" s="23"/>
      <c r="Q25" s="23"/>
      <c r="R25" s="23"/>
      <c r="S25" s="158">
        <f t="shared" si="3"/>
        <v>0</v>
      </c>
      <c r="T25" s="158">
        <f t="shared" si="4"/>
        <v>0</v>
      </c>
      <c r="U25" s="158">
        <f t="shared" si="5"/>
        <v>0</v>
      </c>
    </row>
    <row r="26" spans="1:21" s="20" customFormat="1" ht="24" customHeight="1" x14ac:dyDescent="0.25">
      <c r="A26" s="21" t="s">
        <v>1610</v>
      </c>
      <c r="B26" s="22" t="s">
        <v>871</v>
      </c>
      <c r="C26" s="23"/>
      <c r="D26" s="23"/>
      <c r="E26" s="148"/>
      <c r="F26" s="148"/>
      <c r="G26" s="154">
        <f>+C26+D26+E26-F26</f>
        <v>0</v>
      </c>
      <c r="H26" s="23"/>
      <c r="I26" s="23"/>
      <c r="J26" s="23"/>
      <c r="K26" s="23"/>
      <c r="L26" s="23"/>
      <c r="M26" s="23"/>
      <c r="N26" s="154">
        <f t="shared" si="1"/>
        <v>0</v>
      </c>
      <c r="O26" s="155">
        <f t="shared" si="2"/>
        <v>0</v>
      </c>
      <c r="P26" s="23"/>
      <c r="Q26" s="23"/>
      <c r="R26" s="23"/>
      <c r="S26" s="158">
        <f t="shared" si="3"/>
        <v>0</v>
      </c>
      <c r="T26" s="158">
        <f t="shared" si="4"/>
        <v>0</v>
      </c>
      <c r="U26" s="158">
        <f t="shared" si="5"/>
        <v>0</v>
      </c>
    </row>
    <row r="27" spans="1:21" s="20" customFormat="1" ht="24" customHeight="1" x14ac:dyDescent="0.25">
      <c r="A27" s="25" t="s">
        <v>1611</v>
      </c>
      <c r="B27" s="26" t="s">
        <v>1612</v>
      </c>
      <c r="C27" s="23"/>
      <c r="D27" s="23"/>
      <c r="E27" s="148"/>
      <c r="F27" s="148"/>
      <c r="G27" s="154"/>
      <c r="H27" s="23"/>
      <c r="I27" s="23"/>
      <c r="J27" s="23"/>
      <c r="K27" s="23"/>
      <c r="L27" s="23"/>
      <c r="M27" s="23"/>
      <c r="N27" s="154">
        <f t="shared" si="1"/>
        <v>0</v>
      </c>
      <c r="O27" s="155"/>
      <c r="P27" s="23"/>
      <c r="Q27" s="23"/>
      <c r="R27" s="23"/>
      <c r="S27" s="158">
        <f t="shared" si="3"/>
        <v>0</v>
      </c>
      <c r="T27" s="158">
        <f t="shared" si="4"/>
        <v>0</v>
      </c>
      <c r="U27" s="158"/>
    </row>
    <row r="28" spans="1:21" s="20" customFormat="1" ht="24" customHeight="1" x14ac:dyDescent="0.25">
      <c r="A28" s="21" t="s">
        <v>1613</v>
      </c>
      <c r="B28" s="22" t="s">
        <v>883</v>
      </c>
      <c r="C28" s="23"/>
      <c r="D28" s="23"/>
      <c r="E28" s="148"/>
      <c r="F28" s="148"/>
      <c r="G28" s="154">
        <f>+C28+D28+E28-F28</f>
        <v>0</v>
      </c>
      <c r="H28" s="23"/>
      <c r="I28" s="23"/>
      <c r="J28" s="23"/>
      <c r="K28" s="23"/>
      <c r="L28" s="23"/>
      <c r="M28" s="23"/>
      <c r="N28" s="154">
        <f t="shared" si="1"/>
        <v>0</v>
      </c>
      <c r="O28" s="155">
        <f t="shared" si="2"/>
        <v>0</v>
      </c>
      <c r="P28" s="23"/>
      <c r="Q28" s="23"/>
      <c r="R28" s="23"/>
      <c r="S28" s="158">
        <f t="shared" si="3"/>
        <v>0</v>
      </c>
      <c r="T28" s="158">
        <f t="shared" si="4"/>
        <v>0</v>
      </c>
      <c r="U28" s="158">
        <f t="shared" si="5"/>
        <v>0</v>
      </c>
    </row>
    <row r="29" spans="1:21" s="20" customFormat="1" ht="24" customHeight="1" x14ac:dyDescent="0.25">
      <c r="A29" s="21" t="s">
        <v>1614</v>
      </c>
      <c r="B29" s="22" t="s">
        <v>884</v>
      </c>
      <c r="C29" s="23"/>
      <c r="D29" s="23"/>
      <c r="E29" s="148"/>
      <c r="F29" s="148"/>
      <c r="G29" s="154">
        <f>+C29+D29+E29-F29</f>
        <v>0</v>
      </c>
      <c r="H29" s="23"/>
      <c r="I29" s="23"/>
      <c r="J29" s="23"/>
      <c r="K29" s="23"/>
      <c r="L29" s="23"/>
      <c r="M29" s="23"/>
      <c r="N29" s="154">
        <f t="shared" si="1"/>
        <v>0</v>
      </c>
      <c r="O29" s="155">
        <f t="shared" si="2"/>
        <v>0</v>
      </c>
      <c r="P29" s="23"/>
      <c r="Q29" s="23"/>
      <c r="R29" s="23"/>
      <c r="S29" s="158">
        <f t="shared" si="3"/>
        <v>0</v>
      </c>
      <c r="T29" s="158">
        <f t="shared" si="4"/>
        <v>0</v>
      </c>
      <c r="U29" s="158">
        <f t="shared" si="5"/>
        <v>0</v>
      </c>
    </row>
    <row r="30" spans="1:21" s="20" customFormat="1" ht="24" customHeight="1" x14ac:dyDescent="0.25">
      <c r="A30" s="16" t="s">
        <v>1615</v>
      </c>
      <c r="B30" s="17" t="s">
        <v>124</v>
      </c>
      <c r="C30" s="18">
        <f>SUM(C31:C34)</f>
        <v>0</v>
      </c>
      <c r="D30" s="18">
        <f>SUM(D31:D34)</f>
        <v>0</v>
      </c>
      <c r="E30" s="147">
        <f t="shared" ref="E30:T30" si="8">SUM(E31:E34)</f>
        <v>0</v>
      </c>
      <c r="F30" s="147">
        <f t="shared" si="8"/>
        <v>0</v>
      </c>
      <c r="G30" s="147">
        <f t="shared" si="8"/>
        <v>0</v>
      </c>
      <c r="H30" s="18">
        <f t="shared" si="8"/>
        <v>0</v>
      </c>
      <c r="I30" s="18">
        <f t="shared" si="8"/>
        <v>0</v>
      </c>
      <c r="J30" s="18">
        <f t="shared" si="8"/>
        <v>0</v>
      </c>
      <c r="K30" s="18">
        <f t="shared" si="8"/>
        <v>0</v>
      </c>
      <c r="L30" s="18">
        <f t="shared" si="8"/>
        <v>0</v>
      </c>
      <c r="M30" s="18">
        <f t="shared" si="8"/>
        <v>0</v>
      </c>
      <c r="N30" s="147">
        <f t="shared" si="8"/>
        <v>0</v>
      </c>
      <c r="O30" s="147">
        <f t="shared" si="8"/>
        <v>0</v>
      </c>
      <c r="P30" s="18">
        <f t="shared" si="8"/>
        <v>0</v>
      </c>
      <c r="Q30" s="18">
        <f t="shared" si="8"/>
        <v>0</v>
      </c>
      <c r="R30" s="18">
        <f t="shared" si="8"/>
        <v>0</v>
      </c>
      <c r="S30" s="147">
        <f>SUM(S31:S34)</f>
        <v>0</v>
      </c>
      <c r="T30" s="147">
        <f t="shared" si="8"/>
        <v>0</v>
      </c>
      <c r="U30" s="147">
        <f>SUM(U31:U34)</f>
        <v>0</v>
      </c>
    </row>
    <row r="31" spans="1:21" s="20" customFormat="1" ht="24" customHeight="1" x14ac:dyDescent="0.25">
      <c r="A31" s="21" t="s">
        <v>1616</v>
      </c>
      <c r="B31" s="22" t="s">
        <v>1617</v>
      </c>
      <c r="C31" s="23"/>
      <c r="D31" s="23"/>
      <c r="E31" s="148"/>
      <c r="F31" s="148"/>
      <c r="G31" s="154">
        <f>+C31+D31+E31-F31</f>
        <v>0</v>
      </c>
      <c r="H31" s="23"/>
      <c r="I31" s="23"/>
      <c r="J31" s="23"/>
      <c r="K31" s="23"/>
      <c r="L31" s="23"/>
      <c r="M31" s="23"/>
      <c r="N31" s="154">
        <f t="shared" si="1"/>
        <v>0</v>
      </c>
      <c r="O31" s="155">
        <f t="shared" si="2"/>
        <v>0</v>
      </c>
      <c r="P31" s="23"/>
      <c r="Q31" s="23"/>
      <c r="R31" s="23"/>
      <c r="S31" s="158">
        <f t="shared" si="3"/>
        <v>0</v>
      </c>
      <c r="T31" s="158">
        <f t="shared" si="4"/>
        <v>0</v>
      </c>
      <c r="U31" s="158">
        <f t="shared" si="5"/>
        <v>0</v>
      </c>
    </row>
    <row r="32" spans="1:21" s="20" customFormat="1" ht="24" customHeight="1" x14ac:dyDescent="0.25">
      <c r="A32" s="21" t="s">
        <v>1618</v>
      </c>
      <c r="B32" s="22" t="s">
        <v>885</v>
      </c>
      <c r="C32" s="23"/>
      <c r="D32" s="23"/>
      <c r="E32" s="148"/>
      <c r="F32" s="148"/>
      <c r="G32" s="154">
        <f>+C32+D32+E32-F32</f>
        <v>0</v>
      </c>
      <c r="H32" s="23"/>
      <c r="I32" s="23"/>
      <c r="J32" s="23"/>
      <c r="K32" s="23"/>
      <c r="L32" s="23"/>
      <c r="M32" s="23"/>
      <c r="N32" s="154">
        <f t="shared" si="1"/>
        <v>0</v>
      </c>
      <c r="O32" s="155">
        <f t="shared" si="2"/>
        <v>0</v>
      </c>
      <c r="P32" s="23"/>
      <c r="Q32" s="23"/>
      <c r="R32" s="23"/>
      <c r="S32" s="158">
        <f t="shared" si="3"/>
        <v>0</v>
      </c>
      <c r="T32" s="158">
        <f t="shared" si="4"/>
        <v>0</v>
      </c>
      <c r="U32" s="158">
        <f t="shared" si="5"/>
        <v>0</v>
      </c>
    </row>
    <row r="33" spans="1:21" s="20" customFormat="1" ht="24" customHeight="1" x14ac:dyDescent="0.25">
      <c r="A33" s="21" t="s">
        <v>1619</v>
      </c>
      <c r="B33" s="22" t="s">
        <v>886</v>
      </c>
      <c r="C33" s="23"/>
      <c r="D33" s="23"/>
      <c r="E33" s="148"/>
      <c r="F33" s="148"/>
      <c r="G33" s="154">
        <f>+C33+D33+E33-F33</f>
        <v>0</v>
      </c>
      <c r="H33" s="23"/>
      <c r="I33" s="23"/>
      <c r="J33" s="23"/>
      <c r="K33" s="23"/>
      <c r="L33" s="23"/>
      <c r="M33" s="23"/>
      <c r="N33" s="154">
        <f t="shared" si="1"/>
        <v>0</v>
      </c>
      <c r="O33" s="155">
        <f t="shared" si="2"/>
        <v>0</v>
      </c>
      <c r="P33" s="23"/>
      <c r="Q33" s="23"/>
      <c r="R33" s="23"/>
      <c r="S33" s="158">
        <f t="shared" si="3"/>
        <v>0</v>
      </c>
      <c r="T33" s="158">
        <f t="shared" si="4"/>
        <v>0</v>
      </c>
      <c r="U33" s="158">
        <f t="shared" si="5"/>
        <v>0</v>
      </c>
    </row>
    <row r="34" spans="1:21" s="20" customFormat="1" ht="24" customHeight="1" x14ac:dyDescent="0.25">
      <c r="A34" s="21" t="s">
        <v>1620</v>
      </c>
      <c r="B34" s="22" t="s">
        <v>887</v>
      </c>
      <c r="C34" s="23"/>
      <c r="D34" s="23"/>
      <c r="E34" s="148"/>
      <c r="F34" s="148"/>
      <c r="G34" s="154">
        <f>+C34+D34+E34-F34</f>
        <v>0</v>
      </c>
      <c r="H34" s="23"/>
      <c r="I34" s="23"/>
      <c r="J34" s="23"/>
      <c r="K34" s="23"/>
      <c r="L34" s="23"/>
      <c r="M34" s="23"/>
      <c r="N34" s="154">
        <f t="shared" si="1"/>
        <v>0</v>
      </c>
      <c r="O34" s="155">
        <f t="shared" si="2"/>
        <v>0</v>
      </c>
      <c r="P34" s="23"/>
      <c r="Q34" s="23"/>
      <c r="R34" s="23"/>
      <c r="S34" s="158">
        <f t="shared" si="3"/>
        <v>0</v>
      </c>
      <c r="T34" s="158">
        <f t="shared" si="4"/>
        <v>0</v>
      </c>
      <c r="U34" s="158">
        <f t="shared" si="5"/>
        <v>0</v>
      </c>
    </row>
    <row r="35" spans="1:21" s="20" customFormat="1" ht="24" customHeight="1" x14ac:dyDescent="0.25">
      <c r="A35" s="16" t="s">
        <v>1621</v>
      </c>
      <c r="B35" s="17" t="s">
        <v>126</v>
      </c>
      <c r="C35" s="18">
        <f>SUM(C36:C38)</f>
        <v>0</v>
      </c>
      <c r="D35" s="18">
        <f>SUM(D36:D38)</f>
        <v>0</v>
      </c>
      <c r="E35" s="147">
        <f t="shared" ref="E35:T35" si="9">SUM(E36:E38)</f>
        <v>0</v>
      </c>
      <c r="F35" s="147">
        <f t="shared" si="9"/>
        <v>0</v>
      </c>
      <c r="G35" s="147">
        <f t="shared" si="9"/>
        <v>0</v>
      </c>
      <c r="H35" s="18">
        <f t="shared" si="9"/>
        <v>0</v>
      </c>
      <c r="I35" s="18">
        <f t="shared" si="9"/>
        <v>0</v>
      </c>
      <c r="J35" s="18">
        <f t="shared" si="9"/>
        <v>0</v>
      </c>
      <c r="K35" s="18">
        <f t="shared" si="9"/>
        <v>0</v>
      </c>
      <c r="L35" s="18">
        <f t="shared" si="9"/>
        <v>0</v>
      </c>
      <c r="M35" s="18">
        <f t="shared" si="9"/>
        <v>0</v>
      </c>
      <c r="N35" s="147">
        <f t="shared" si="9"/>
        <v>0</v>
      </c>
      <c r="O35" s="147">
        <f t="shared" si="9"/>
        <v>0</v>
      </c>
      <c r="P35" s="18">
        <f t="shared" si="9"/>
        <v>0</v>
      </c>
      <c r="Q35" s="18">
        <f t="shared" si="9"/>
        <v>0</v>
      </c>
      <c r="R35" s="18">
        <f t="shared" si="9"/>
        <v>0</v>
      </c>
      <c r="S35" s="147">
        <f t="shared" si="9"/>
        <v>0</v>
      </c>
      <c r="T35" s="147">
        <f t="shared" si="9"/>
        <v>0</v>
      </c>
      <c r="U35" s="147">
        <f>SUM(U36:U38)</f>
        <v>0</v>
      </c>
    </row>
    <row r="36" spans="1:21" s="20" customFormat="1" ht="24" customHeight="1" x14ac:dyDescent="0.25">
      <c r="A36" s="21" t="s">
        <v>1622</v>
      </c>
      <c r="B36" s="22" t="s">
        <v>888</v>
      </c>
      <c r="C36" s="23"/>
      <c r="D36" s="23"/>
      <c r="E36" s="148"/>
      <c r="F36" s="148"/>
      <c r="G36" s="154">
        <f>+C36+D36+E36-F36</f>
        <v>0</v>
      </c>
      <c r="H36" s="23"/>
      <c r="I36" s="23"/>
      <c r="J36" s="23"/>
      <c r="K36" s="23"/>
      <c r="L36" s="23"/>
      <c r="M36" s="23"/>
      <c r="N36" s="154">
        <f t="shared" si="1"/>
        <v>0</v>
      </c>
      <c r="O36" s="155">
        <f t="shared" si="2"/>
        <v>0</v>
      </c>
      <c r="P36" s="23"/>
      <c r="Q36" s="23"/>
      <c r="R36" s="23"/>
      <c r="S36" s="158">
        <f t="shared" si="3"/>
        <v>0</v>
      </c>
      <c r="T36" s="158">
        <f t="shared" si="4"/>
        <v>0</v>
      </c>
      <c r="U36" s="158">
        <f t="shared" si="5"/>
        <v>0</v>
      </c>
    </row>
    <row r="37" spans="1:21" s="20" customFormat="1" ht="24" customHeight="1" x14ac:dyDescent="0.25">
      <c r="A37" s="21" t="s">
        <v>1623</v>
      </c>
      <c r="B37" s="22" t="s">
        <v>889</v>
      </c>
      <c r="C37" s="23"/>
      <c r="D37" s="23"/>
      <c r="E37" s="148"/>
      <c r="F37" s="148"/>
      <c r="G37" s="154">
        <f>+C37+D37+E37-F37</f>
        <v>0</v>
      </c>
      <c r="H37" s="23"/>
      <c r="I37" s="23"/>
      <c r="J37" s="23"/>
      <c r="K37" s="23"/>
      <c r="L37" s="23"/>
      <c r="M37" s="23"/>
      <c r="N37" s="154">
        <f t="shared" si="1"/>
        <v>0</v>
      </c>
      <c r="O37" s="155">
        <f t="shared" si="2"/>
        <v>0</v>
      </c>
      <c r="P37" s="23"/>
      <c r="Q37" s="23"/>
      <c r="R37" s="23"/>
      <c r="S37" s="158">
        <f t="shared" si="3"/>
        <v>0</v>
      </c>
      <c r="T37" s="158">
        <f t="shared" si="4"/>
        <v>0</v>
      </c>
      <c r="U37" s="158">
        <f t="shared" si="5"/>
        <v>0</v>
      </c>
    </row>
    <row r="38" spans="1:21" s="20" customFormat="1" ht="24" customHeight="1" x14ac:dyDescent="0.25">
      <c r="A38" s="21" t="s">
        <v>1624</v>
      </c>
      <c r="B38" s="22" t="s">
        <v>890</v>
      </c>
      <c r="C38" s="23"/>
      <c r="D38" s="23"/>
      <c r="E38" s="148"/>
      <c r="F38" s="148"/>
      <c r="G38" s="154">
        <f>+C38+D38+E38-F38</f>
        <v>0</v>
      </c>
      <c r="H38" s="23"/>
      <c r="I38" s="23"/>
      <c r="J38" s="23"/>
      <c r="K38" s="23"/>
      <c r="L38" s="23"/>
      <c r="M38" s="23"/>
      <c r="N38" s="154">
        <f t="shared" si="1"/>
        <v>0</v>
      </c>
      <c r="O38" s="155">
        <f t="shared" si="2"/>
        <v>0</v>
      </c>
      <c r="P38" s="23"/>
      <c r="Q38" s="23"/>
      <c r="R38" s="23"/>
      <c r="S38" s="158">
        <f t="shared" si="3"/>
        <v>0</v>
      </c>
      <c r="T38" s="158">
        <f t="shared" si="4"/>
        <v>0</v>
      </c>
      <c r="U38" s="158">
        <f t="shared" si="5"/>
        <v>0</v>
      </c>
    </row>
    <row r="39" spans="1:21" s="20" customFormat="1" ht="24" customHeight="1" x14ac:dyDescent="0.25">
      <c r="A39" s="16" t="s">
        <v>1625</v>
      </c>
      <c r="B39" s="17" t="s">
        <v>128</v>
      </c>
      <c r="C39" s="18">
        <f>SUM(C40:C41)</f>
        <v>0</v>
      </c>
      <c r="D39" s="18">
        <f>SUM(D40:D41)</f>
        <v>0</v>
      </c>
      <c r="E39" s="147">
        <f t="shared" ref="E39:U39" si="10">SUM(E40:E41)</f>
        <v>0</v>
      </c>
      <c r="F39" s="147">
        <f t="shared" si="10"/>
        <v>0</v>
      </c>
      <c r="G39" s="147">
        <f t="shared" si="10"/>
        <v>0</v>
      </c>
      <c r="H39" s="18">
        <f t="shared" si="10"/>
        <v>0</v>
      </c>
      <c r="I39" s="18">
        <f t="shared" si="10"/>
        <v>0</v>
      </c>
      <c r="J39" s="18">
        <f t="shared" si="10"/>
        <v>0</v>
      </c>
      <c r="K39" s="18">
        <f t="shared" si="10"/>
        <v>0</v>
      </c>
      <c r="L39" s="18">
        <f t="shared" si="10"/>
        <v>0</v>
      </c>
      <c r="M39" s="18">
        <f t="shared" si="10"/>
        <v>0</v>
      </c>
      <c r="N39" s="147">
        <f t="shared" si="10"/>
        <v>0</v>
      </c>
      <c r="O39" s="147">
        <f t="shared" si="10"/>
        <v>0</v>
      </c>
      <c r="P39" s="18">
        <f t="shared" si="10"/>
        <v>0</v>
      </c>
      <c r="Q39" s="18">
        <f t="shared" si="10"/>
        <v>0</v>
      </c>
      <c r="R39" s="18">
        <f t="shared" si="10"/>
        <v>0</v>
      </c>
      <c r="S39" s="147">
        <f t="shared" si="10"/>
        <v>0</v>
      </c>
      <c r="T39" s="147">
        <f t="shared" si="10"/>
        <v>0</v>
      </c>
      <c r="U39" s="147">
        <f t="shared" si="10"/>
        <v>0</v>
      </c>
    </row>
    <row r="40" spans="1:21" s="20" customFormat="1" ht="24" customHeight="1" x14ac:dyDescent="0.25">
      <c r="A40" s="21" t="s">
        <v>1626</v>
      </c>
      <c r="B40" s="22" t="s">
        <v>891</v>
      </c>
      <c r="C40" s="23"/>
      <c r="D40" s="23"/>
      <c r="E40" s="148"/>
      <c r="F40" s="148"/>
      <c r="G40" s="154">
        <f>+C40+D40+E40-F40</f>
        <v>0</v>
      </c>
      <c r="H40" s="23"/>
      <c r="I40" s="23"/>
      <c r="J40" s="23"/>
      <c r="K40" s="23"/>
      <c r="L40" s="23"/>
      <c r="M40" s="23"/>
      <c r="N40" s="154">
        <f t="shared" si="1"/>
        <v>0</v>
      </c>
      <c r="O40" s="155">
        <f t="shared" si="2"/>
        <v>0</v>
      </c>
      <c r="P40" s="23"/>
      <c r="Q40" s="23"/>
      <c r="R40" s="23"/>
      <c r="S40" s="158">
        <f t="shared" si="3"/>
        <v>0</v>
      </c>
      <c r="T40" s="158">
        <f t="shared" si="4"/>
        <v>0</v>
      </c>
      <c r="U40" s="158">
        <f t="shared" si="5"/>
        <v>0</v>
      </c>
    </row>
    <row r="41" spans="1:21" s="20" customFormat="1" ht="24" customHeight="1" x14ac:dyDescent="0.25">
      <c r="A41" s="21" t="s">
        <v>1627</v>
      </c>
      <c r="B41" s="22" t="s">
        <v>892</v>
      </c>
      <c r="C41" s="23"/>
      <c r="D41" s="23"/>
      <c r="E41" s="148"/>
      <c r="F41" s="148"/>
      <c r="G41" s="154">
        <f>+C41+D41+E41-F41</f>
        <v>0</v>
      </c>
      <c r="H41" s="23"/>
      <c r="I41" s="23"/>
      <c r="J41" s="23"/>
      <c r="K41" s="23"/>
      <c r="L41" s="23"/>
      <c r="M41" s="23"/>
      <c r="N41" s="154">
        <f t="shared" si="1"/>
        <v>0</v>
      </c>
      <c r="O41" s="155">
        <f t="shared" si="2"/>
        <v>0</v>
      </c>
      <c r="P41" s="23"/>
      <c r="Q41" s="23"/>
      <c r="R41" s="23"/>
      <c r="S41" s="158">
        <f t="shared" si="3"/>
        <v>0</v>
      </c>
      <c r="T41" s="158">
        <f t="shared" si="4"/>
        <v>0</v>
      </c>
      <c r="U41" s="158">
        <f t="shared" si="5"/>
        <v>0</v>
      </c>
    </row>
    <row r="42" spans="1:21" s="20" customFormat="1" ht="24" customHeight="1" x14ac:dyDescent="0.25">
      <c r="A42" s="16" t="s">
        <v>1628</v>
      </c>
      <c r="B42" s="17" t="s">
        <v>130</v>
      </c>
      <c r="C42" s="18">
        <f>SUM(C43:C44)</f>
        <v>0</v>
      </c>
      <c r="D42" s="18">
        <f>SUM(D43:D44)</f>
        <v>0</v>
      </c>
      <c r="E42" s="147">
        <f t="shared" ref="E42:U42" si="11">SUM(E43:E44)</f>
        <v>0</v>
      </c>
      <c r="F42" s="147">
        <f t="shared" si="11"/>
        <v>0</v>
      </c>
      <c r="G42" s="147">
        <f t="shared" si="11"/>
        <v>0</v>
      </c>
      <c r="H42" s="18">
        <f t="shared" si="11"/>
        <v>0</v>
      </c>
      <c r="I42" s="18">
        <f t="shared" si="11"/>
        <v>0</v>
      </c>
      <c r="J42" s="18">
        <f t="shared" si="11"/>
        <v>0</v>
      </c>
      <c r="K42" s="18">
        <f t="shared" si="11"/>
        <v>0</v>
      </c>
      <c r="L42" s="18">
        <f t="shared" si="11"/>
        <v>0</v>
      </c>
      <c r="M42" s="18">
        <f t="shared" si="11"/>
        <v>0</v>
      </c>
      <c r="N42" s="147">
        <f t="shared" si="11"/>
        <v>0</v>
      </c>
      <c r="O42" s="147">
        <f t="shared" si="11"/>
        <v>0</v>
      </c>
      <c r="P42" s="18">
        <f t="shared" si="11"/>
        <v>0</v>
      </c>
      <c r="Q42" s="18">
        <f t="shared" si="11"/>
        <v>0</v>
      </c>
      <c r="R42" s="18">
        <f t="shared" si="11"/>
        <v>0</v>
      </c>
      <c r="S42" s="147">
        <f t="shared" si="11"/>
        <v>0</v>
      </c>
      <c r="T42" s="147">
        <f t="shared" si="11"/>
        <v>0</v>
      </c>
      <c r="U42" s="147">
        <f t="shared" si="11"/>
        <v>0</v>
      </c>
    </row>
    <row r="43" spans="1:21" s="20" customFormat="1" ht="24" customHeight="1" x14ac:dyDescent="0.25">
      <c r="A43" s="21" t="s">
        <v>1629</v>
      </c>
      <c r="B43" s="22" t="s">
        <v>891</v>
      </c>
      <c r="C43" s="23"/>
      <c r="D43" s="23"/>
      <c r="E43" s="148"/>
      <c r="F43" s="148"/>
      <c r="G43" s="154">
        <f t="shared" si="6"/>
        <v>0</v>
      </c>
      <c r="H43" s="23"/>
      <c r="I43" s="23"/>
      <c r="J43" s="23"/>
      <c r="K43" s="23"/>
      <c r="L43" s="23"/>
      <c r="M43" s="23"/>
      <c r="N43" s="154">
        <f t="shared" si="1"/>
        <v>0</v>
      </c>
      <c r="O43" s="155">
        <f t="shared" si="2"/>
        <v>0</v>
      </c>
      <c r="P43" s="23"/>
      <c r="Q43" s="23"/>
      <c r="R43" s="23"/>
      <c r="S43" s="158">
        <f t="shared" ref="S43:S44" si="12">+P43+Q43-R43</f>
        <v>0</v>
      </c>
      <c r="T43" s="158">
        <f t="shared" si="4"/>
        <v>0</v>
      </c>
      <c r="U43" s="158">
        <f t="shared" si="5"/>
        <v>0</v>
      </c>
    </row>
    <row r="44" spans="1:21" s="20" customFormat="1" ht="24" customHeight="1" x14ac:dyDescent="0.25">
      <c r="A44" s="21" t="s">
        <v>1630</v>
      </c>
      <c r="B44" s="22" t="s">
        <v>892</v>
      </c>
      <c r="C44" s="23"/>
      <c r="D44" s="23"/>
      <c r="E44" s="148"/>
      <c r="F44" s="148"/>
      <c r="G44" s="154">
        <f t="shared" si="6"/>
        <v>0</v>
      </c>
      <c r="H44" s="23"/>
      <c r="I44" s="23"/>
      <c r="J44" s="23"/>
      <c r="K44" s="23"/>
      <c r="L44" s="23"/>
      <c r="M44" s="23"/>
      <c r="N44" s="154">
        <f t="shared" si="1"/>
        <v>0</v>
      </c>
      <c r="O44" s="155">
        <f t="shared" si="2"/>
        <v>0</v>
      </c>
      <c r="P44" s="23"/>
      <c r="Q44" s="23"/>
      <c r="R44" s="23"/>
      <c r="S44" s="158">
        <f t="shared" si="12"/>
        <v>0</v>
      </c>
      <c r="T44" s="158">
        <f t="shared" si="4"/>
        <v>0</v>
      </c>
      <c r="U44" s="158">
        <f t="shared" si="5"/>
        <v>0</v>
      </c>
    </row>
    <row r="45" spans="1:21" s="20" customFormat="1" ht="24" customHeight="1" x14ac:dyDescent="0.25">
      <c r="A45" s="16" t="s">
        <v>1631</v>
      </c>
      <c r="B45" s="17" t="s">
        <v>893</v>
      </c>
      <c r="C45" s="18">
        <f>SUM(C46:C49)</f>
        <v>8588.9011100000007</v>
      </c>
      <c r="D45" s="18">
        <f>SUM(D46:D49)</f>
        <v>0</v>
      </c>
      <c r="E45" s="147">
        <f t="shared" ref="E45:U45" si="13">SUM(E46:E49)</f>
        <v>0</v>
      </c>
      <c r="F45" s="147">
        <f t="shared" si="13"/>
        <v>0</v>
      </c>
      <c r="G45" s="147">
        <f t="shared" si="13"/>
        <v>8588.9011100000007</v>
      </c>
      <c r="H45" s="18">
        <f t="shared" si="13"/>
        <v>38416.403169999998</v>
      </c>
      <c r="I45" s="18">
        <f t="shared" si="13"/>
        <v>0</v>
      </c>
      <c r="J45" s="18">
        <f t="shared" si="13"/>
        <v>0</v>
      </c>
      <c r="K45" s="18">
        <f t="shared" si="13"/>
        <v>0</v>
      </c>
      <c r="L45" s="18">
        <f t="shared" si="13"/>
        <v>0</v>
      </c>
      <c r="M45" s="18">
        <f t="shared" si="13"/>
        <v>-8601.3179500000006</v>
      </c>
      <c r="N45" s="147">
        <f t="shared" si="13"/>
        <v>29815.085219999997</v>
      </c>
      <c r="O45" s="147">
        <f t="shared" si="13"/>
        <v>38403.986329999992</v>
      </c>
      <c r="P45" s="18">
        <f t="shared" si="13"/>
        <v>0</v>
      </c>
      <c r="Q45" s="18">
        <f t="shared" si="13"/>
        <v>-6291.4364300000007</v>
      </c>
      <c r="R45" s="18">
        <f t="shared" si="13"/>
        <v>0</v>
      </c>
      <c r="S45" s="147">
        <f t="shared" si="13"/>
        <v>-6291.4364300000007</v>
      </c>
      <c r="T45" s="147">
        <f t="shared" si="13"/>
        <v>-6291.4364300000007</v>
      </c>
      <c r="U45" s="147">
        <f t="shared" si="13"/>
        <v>32112.549899999991</v>
      </c>
    </row>
    <row r="46" spans="1:21" s="20" customFormat="1" ht="24" customHeight="1" x14ac:dyDescent="0.25">
      <c r="A46" s="21" t="s">
        <v>1632</v>
      </c>
      <c r="B46" s="22" t="s">
        <v>894</v>
      </c>
      <c r="C46" s="23"/>
      <c r="D46" s="23"/>
      <c r="E46" s="148"/>
      <c r="F46" s="148"/>
      <c r="G46" s="154">
        <f>+C46+D46+E46-F46</f>
        <v>0</v>
      </c>
      <c r="H46" s="23"/>
      <c r="I46" s="23"/>
      <c r="J46" s="23"/>
      <c r="K46" s="23"/>
      <c r="L46" s="23"/>
      <c r="M46" s="23"/>
      <c r="N46" s="154">
        <f t="shared" si="1"/>
        <v>0</v>
      </c>
      <c r="O46" s="155">
        <f t="shared" si="2"/>
        <v>0</v>
      </c>
      <c r="P46" s="23"/>
      <c r="Q46" s="23"/>
      <c r="R46" s="23"/>
      <c r="S46" s="158">
        <f t="shared" ref="S46:S54" si="14">+Q46-R46</f>
        <v>0</v>
      </c>
      <c r="T46" s="158">
        <f t="shared" si="4"/>
        <v>0</v>
      </c>
      <c r="U46" s="158">
        <f t="shared" si="5"/>
        <v>0</v>
      </c>
    </row>
    <row r="47" spans="1:21" s="20" customFormat="1" ht="24" customHeight="1" x14ac:dyDescent="0.25">
      <c r="A47" s="21" t="s">
        <v>1633</v>
      </c>
      <c r="B47" s="22" t="s">
        <v>895</v>
      </c>
      <c r="C47" s="23"/>
      <c r="D47" s="23"/>
      <c r="E47" s="148"/>
      <c r="F47" s="148"/>
      <c r="G47" s="154">
        <f>+C47+D47+E47-F47</f>
        <v>0</v>
      </c>
      <c r="H47" s="23"/>
      <c r="I47" s="23"/>
      <c r="J47" s="23"/>
      <c r="K47" s="23"/>
      <c r="L47" s="23"/>
      <c r="M47" s="23"/>
      <c r="N47" s="154">
        <f t="shared" si="1"/>
        <v>0</v>
      </c>
      <c r="O47" s="155">
        <f t="shared" si="2"/>
        <v>0</v>
      </c>
      <c r="P47" s="23"/>
      <c r="Q47" s="23"/>
      <c r="R47" s="23"/>
      <c r="S47" s="158">
        <f t="shared" si="14"/>
        <v>0</v>
      </c>
      <c r="T47" s="158">
        <f t="shared" si="4"/>
        <v>0</v>
      </c>
      <c r="U47" s="158">
        <f t="shared" si="5"/>
        <v>0</v>
      </c>
    </row>
    <row r="48" spans="1:21" s="20" customFormat="1" ht="24" customHeight="1" x14ac:dyDescent="0.25">
      <c r="A48" s="21" t="s">
        <v>1634</v>
      </c>
      <c r="B48" s="22" t="s">
        <v>896</v>
      </c>
      <c r="C48" s="160">
        <f>8205748.11/1000</f>
        <v>8205.7481100000005</v>
      </c>
      <c r="D48" s="23"/>
      <c r="E48" s="148"/>
      <c r="F48" s="148"/>
      <c r="G48" s="154">
        <f>+C48+D48+E48-F48</f>
        <v>8205.7481100000005</v>
      </c>
      <c r="H48" s="160">
        <f>625018.88/1000+27429999.68/1000+10361384.61/1000</f>
        <v>38416.403169999998</v>
      </c>
      <c r="I48" s="23"/>
      <c r="J48" s="23"/>
      <c r="K48" s="23"/>
      <c r="L48" s="23"/>
      <c r="M48" s="23">
        <f>-3084900/1000-1956292.17/1000-3560125.78/1000</f>
        <v>-8601.3179500000006</v>
      </c>
      <c r="N48" s="154">
        <f t="shared" si="1"/>
        <v>29815.085219999997</v>
      </c>
      <c r="O48" s="155">
        <f t="shared" si="2"/>
        <v>38020.833329999994</v>
      </c>
      <c r="P48" s="23"/>
      <c r="Q48" s="160">
        <f>-3836.73416-2055687.84/1000-399014.43/1000</f>
        <v>-6291.4364300000007</v>
      </c>
      <c r="R48" s="23"/>
      <c r="S48" s="158">
        <f t="shared" si="14"/>
        <v>-6291.4364300000007</v>
      </c>
      <c r="T48" s="158">
        <f t="shared" si="4"/>
        <v>-6291.4364300000007</v>
      </c>
      <c r="U48" s="158">
        <f t="shared" si="5"/>
        <v>31729.396899999992</v>
      </c>
    </row>
    <row r="49" spans="1:24" ht="24" customHeight="1" x14ac:dyDescent="0.25">
      <c r="A49" s="21" t="s">
        <v>1635</v>
      </c>
      <c r="B49" s="22" t="s">
        <v>897</v>
      </c>
      <c r="C49" s="160">
        <f>383153/1000</f>
        <v>383.15300000000002</v>
      </c>
      <c r="D49" s="23"/>
      <c r="E49" s="148"/>
      <c r="F49" s="148"/>
      <c r="G49" s="154">
        <f>+C49+D49+E49-F49</f>
        <v>383.15300000000002</v>
      </c>
      <c r="H49" s="23"/>
      <c r="I49" s="23"/>
      <c r="J49" s="23"/>
      <c r="K49" s="23"/>
      <c r="L49" s="23"/>
      <c r="M49" s="23"/>
      <c r="N49" s="154">
        <f t="shared" si="1"/>
        <v>0</v>
      </c>
      <c r="O49" s="155">
        <f t="shared" si="2"/>
        <v>383.15300000000002</v>
      </c>
      <c r="P49" s="23"/>
      <c r="Q49" s="23"/>
      <c r="R49" s="23"/>
      <c r="S49" s="158">
        <f t="shared" si="14"/>
        <v>0</v>
      </c>
      <c r="T49" s="158">
        <f t="shared" si="4"/>
        <v>0</v>
      </c>
      <c r="U49" s="158">
        <f t="shared" si="5"/>
        <v>383.15300000000002</v>
      </c>
    </row>
    <row r="50" spans="1:24" ht="24" customHeight="1" x14ac:dyDescent="0.25">
      <c r="A50" s="16" t="s">
        <v>1636</v>
      </c>
      <c r="B50" s="17" t="s">
        <v>134</v>
      </c>
      <c r="C50" s="18">
        <f>SUM(C51:C54)</f>
        <v>0</v>
      </c>
      <c r="D50" s="18">
        <f>SUM(D51:D54)</f>
        <v>0</v>
      </c>
      <c r="E50" s="147">
        <f t="shared" ref="E50:T50" si="15">SUM(E51:E54)</f>
        <v>0</v>
      </c>
      <c r="F50" s="147">
        <f t="shared" si="15"/>
        <v>0</v>
      </c>
      <c r="G50" s="147">
        <f t="shared" si="15"/>
        <v>0</v>
      </c>
      <c r="H50" s="18">
        <f t="shared" si="15"/>
        <v>0</v>
      </c>
      <c r="I50" s="18">
        <f t="shared" si="15"/>
        <v>0</v>
      </c>
      <c r="J50" s="18">
        <f t="shared" si="15"/>
        <v>0</v>
      </c>
      <c r="K50" s="18">
        <f t="shared" si="15"/>
        <v>0</v>
      </c>
      <c r="L50" s="18">
        <f t="shared" si="15"/>
        <v>0</v>
      </c>
      <c r="M50" s="18">
        <f t="shared" si="15"/>
        <v>0</v>
      </c>
      <c r="N50" s="147">
        <f t="shared" si="15"/>
        <v>0</v>
      </c>
      <c r="O50" s="147">
        <f t="shared" si="15"/>
        <v>0</v>
      </c>
      <c r="P50" s="18">
        <f t="shared" si="15"/>
        <v>0</v>
      </c>
      <c r="Q50" s="18">
        <f t="shared" si="15"/>
        <v>0</v>
      </c>
      <c r="R50" s="18">
        <f t="shared" si="15"/>
        <v>0</v>
      </c>
      <c r="S50" s="147">
        <f t="shared" si="15"/>
        <v>0</v>
      </c>
      <c r="T50" s="147">
        <f t="shared" si="15"/>
        <v>0</v>
      </c>
      <c r="U50" s="147">
        <f>SUM(U51:U54)</f>
        <v>0</v>
      </c>
    </row>
    <row r="51" spans="1:24" ht="24" customHeight="1" x14ac:dyDescent="0.25">
      <c r="A51" s="21" t="s">
        <v>1637</v>
      </c>
      <c r="B51" s="22" t="s">
        <v>898</v>
      </c>
      <c r="C51" s="23"/>
      <c r="D51" s="23"/>
      <c r="E51" s="148"/>
      <c r="F51" s="148"/>
      <c r="G51" s="154">
        <f t="shared" si="6"/>
        <v>0</v>
      </c>
      <c r="H51" s="23"/>
      <c r="I51" s="23"/>
      <c r="J51" s="23"/>
      <c r="K51" s="23"/>
      <c r="L51" s="23"/>
      <c r="M51" s="23"/>
      <c r="N51" s="154">
        <f t="shared" si="1"/>
        <v>0</v>
      </c>
      <c r="O51" s="155">
        <f t="shared" si="2"/>
        <v>0</v>
      </c>
      <c r="P51" s="23"/>
      <c r="Q51" s="23"/>
      <c r="R51" s="23"/>
      <c r="S51" s="158">
        <f t="shared" si="14"/>
        <v>0</v>
      </c>
      <c r="T51" s="158">
        <f t="shared" si="4"/>
        <v>0</v>
      </c>
      <c r="U51" s="158">
        <f t="shared" si="5"/>
        <v>0</v>
      </c>
    </row>
    <row r="52" spans="1:24" ht="24" customHeight="1" x14ac:dyDescent="0.25">
      <c r="A52" s="21" t="s">
        <v>1638</v>
      </c>
      <c r="B52" s="22" t="s">
        <v>899</v>
      </c>
      <c r="C52" s="23"/>
      <c r="D52" s="23"/>
      <c r="E52" s="148"/>
      <c r="F52" s="148"/>
      <c r="G52" s="154">
        <f t="shared" si="6"/>
        <v>0</v>
      </c>
      <c r="H52" s="23"/>
      <c r="I52" s="23"/>
      <c r="J52" s="23"/>
      <c r="K52" s="23"/>
      <c r="L52" s="23"/>
      <c r="M52" s="23"/>
      <c r="N52" s="154">
        <f t="shared" si="1"/>
        <v>0</v>
      </c>
      <c r="O52" s="155">
        <f t="shared" si="2"/>
        <v>0</v>
      </c>
      <c r="P52" s="23"/>
      <c r="Q52" s="23"/>
      <c r="R52" s="23"/>
      <c r="S52" s="158">
        <f t="shared" si="14"/>
        <v>0</v>
      </c>
      <c r="T52" s="158">
        <f t="shared" si="4"/>
        <v>0</v>
      </c>
      <c r="U52" s="158">
        <f t="shared" si="5"/>
        <v>0</v>
      </c>
    </row>
    <row r="53" spans="1:24" ht="24" customHeight="1" x14ac:dyDescent="0.25">
      <c r="A53" s="21" t="s">
        <v>1639</v>
      </c>
      <c r="B53" s="22" t="s">
        <v>900</v>
      </c>
      <c r="C53" s="23"/>
      <c r="D53" s="23"/>
      <c r="E53" s="148"/>
      <c r="F53" s="148"/>
      <c r="G53" s="154">
        <f t="shared" si="6"/>
        <v>0</v>
      </c>
      <c r="H53" s="23"/>
      <c r="I53" s="23"/>
      <c r="J53" s="23"/>
      <c r="K53" s="23"/>
      <c r="L53" s="23"/>
      <c r="M53" s="23"/>
      <c r="N53" s="154">
        <f t="shared" si="1"/>
        <v>0</v>
      </c>
      <c r="O53" s="155">
        <f t="shared" si="2"/>
        <v>0</v>
      </c>
      <c r="P53" s="23"/>
      <c r="Q53" s="23"/>
      <c r="R53" s="23"/>
      <c r="S53" s="158">
        <f t="shared" si="14"/>
        <v>0</v>
      </c>
      <c r="T53" s="158">
        <f t="shared" si="4"/>
        <v>0</v>
      </c>
      <c r="U53" s="158">
        <f t="shared" si="5"/>
        <v>0</v>
      </c>
    </row>
    <row r="54" spans="1:24" ht="24" customHeight="1" x14ac:dyDescent="0.25">
      <c r="A54" s="21" t="s">
        <v>1640</v>
      </c>
      <c r="B54" s="22" t="s">
        <v>893</v>
      </c>
      <c r="C54" s="23"/>
      <c r="D54" s="23"/>
      <c r="E54" s="148"/>
      <c r="F54" s="148"/>
      <c r="G54" s="154">
        <f t="shared" si="6"/>
        <v>0</v>
      </c>
      <c r="H54" s="23"/>
      <c r="I54" s="23"/>
      <c r="J54" s="23"/>
      <c r="K54" s="23"/>
      <c r="L54" s="23"/>
      <c r="M54" s="23"/>
      <c r="N54" s="154">
        <f t="shared" si="1"/>
        <v>0</v>
      </c>
      <c r="O54" s="155">
        <f t="shared" si="2"/>
        <v>0</v>
      </c>
      <c r="P54" s="23"/>
      <c r="Q54" s="23"/>
      <c r="R54" s="23"/>
      <c r="S54" s="158">
        <f t="shared" si="14"/>
        <v>0</v>
      </c>
      <c r="T54" s="158">
        <f t="shared" si="4"/>
        <v>0</v>
      </c>
      <c r="U54" s="158">
        <f t="shared" si="5"/>
        <v>0</v>
      </c>
    </row>
    <row r="55" spans="1:24" s="4" customFormat="1" ht="24" customHeight="1" x14ac:dyDescent="0.25">
      <c r="A55" s="182" t="s">
        <v>901</v>
      </c>
      <c r="B55" s="182"/>
      <c r="C55" s="27">
        <f t="shared" ref="C55:U55" si="16">C11+C24+C30+C35+C39+C42+C45+C50</f>
        <v>1573639.0632100001</v>
      </c>
      <c r="D55" s="27">
        <f t="shared" si="16"/>
        <v>0</v>
      </c>
      <c r="E55" s="149">
        <f t="shared" si="16"/>
        <v>165274.5404</v>
      </c>
      <c r="F55" s="149">
        <f t="shared" si="16"/>
        <v>4328.32</v>
      </c>
      <c r="G55" s="149">
        <f t="shared" si="16"/>
        <v>1734585.28361</v>
      </c>
      <c r="H55" s="27">
        <f t="shared" si="16"/>
        <v>64095.537360000002</v>
      </c>
      <c r="I55" s="27">
        <f t="shared" si="16"/>
        <v>-735.36138000000005</v>
      </c>
      <c r="J55" s="27">
        <f t="shared" si="16"/>
        <v>0</v>
      </c>
      <c r="K55" s="27">
        <f t="shared" si="16"/>
        <v>306180.52068999998</v>
      </c>
      <c r="L55" s="27">
        <f t="shared" si="16"/>
        <v>-109609.25343000001</v>
      </c>
      <c r="M55" s="27">
        <f t="shared" si="16"/>
        <v>-11187.56574</v>
      </c>
      <c r="N55" s="149">
        <f t="shared" si="16"/>
        <v>248743.8775</v>
      </c>
      <c r="O55" s="149">
        <f t="shared" si="16"/>
        <v>1983329.16111</v>
      </c>
      <c r="P55" s="27">
        <f t="shared" si="16"/>
        <v>-259806.19386</v>
      </c>
      <c r="Q55" s="27">
        <f t="shared" si="16"/>
        <v>-46624.779790000001</v>
      </c>
      <c r="R55" s="27">
        <f t="shared" si="16"/>
        <v>-308.85176000000001</v>
      </c>
      <c r="S55" s="149">
        <f t="shared" si="16"/>
        <v>-46315.928030000003</v>
      </c>
      <c r="T55" s="149">
        <f t="shared" si="16"/>
        <v>-306122.12189000007</v>
      </c>
      <c r="U55" s="149">
        <f t="shared" si="16"/>
        <v>1677207.0392199997</v>
      </c>
      <c r="V55" s="28"/>
      <c r="W55" s="5"/>
      <c r="X55" s="5"/>
    </row>
    <row r="56" spans="1:24" s="15" customFormat="1" ht="20.25" customHeight="1" x14ac:dyDescent="0.25">
      <c r="A56" s="10" t="s">
        <v>1641</v>
      </c>
      <c r="B56" s="11" t="s">
        <v>902</v>
      </c>
      <c r="C56" s="12"/>
      <c r="D56" s="13"/>
      <c r="E56" s="146"/>
      <c r="F56" s="146"/>
      <c r="G56" s="146"/>
      <c r="H56" s="13"/>
      <c r="I56" s="13"/>
      <c r="J56" s="13"/>
      <c r="K56" s="13"/>
      <c r="L56" s="13"/>
      <c r="M56" s="13"/>
      <c r="N56" s="146"/>
      <c r="O56" s="146"/>
      <c r="P56" s="13"/>
      <c r="Q56" s="13"/>
      <c r="R56" s="13"/>
      <c r="S56" s="146"/>
      <c r="T56" s="146"/>
      <c r="U56" s="157"/>
      <c r="V56" s="14"/>
      <c r="W56" s="14"/>
      <c r="X56" s="14"/>
    </row>
    <row r="57" spans="1:24" ht="24" customHeight="1" x14ac:dyDescent="0.25">
      <c r="A57" s="16" t="s">
        <v>1642</v>
      </c>
      <c r="B57" s="17" t="s">
        <v>903</v>
      </c>
      <c r="C57" s="18">
        <f>SUM(C58:C69)</f>
        <v>0</v>
      </c>
      <c r="D57" s="18">
        <f t="shared" ref="D57:T57" si="17">SUM(D58:D69)</f>
        <v>0</v>
      </c>
      <c r="E57" s="147">
        <f t="shared" si="17"/>
        <v>0</v>
      </c>
      <c r="F57" s="147">
        <f t="shared" si="17"/>
        <v>0</v>
      </c>
      <c r="G57" s="147">
        <f t="shared" si="17"/>
        <v>0</v>
      </c>
      <c r="H57" s="18">
        <f t="shared" si="17"/>
        <v>0</v>
      </c>
      <c r="I57" s="18">
        <f t="shared" si="17"/>
        <v>0</v>
      </c>
      <c r="J57" s="18">
        <f t="shared" si="17"/>
        <v>0</v>
      </c>
      <c r="K57" s="18">
        <f t="shared" si="17"/>
        <v>0</v>
      </c>
      <c r="L57" s="18">
        <f t="shared" si="17"/>
        <v>0</v>
      </c>
      <c r="M57" s="18">
        <f t="shared" si="17"/>
        <v>0</v>
      </c>
      <c r="N57" s="147">
        <f t="shared" si="17"/>
        <v>0</v>
      </c>
      <c r="O57" s="147">
        <f t="shared" si="17"/>
        <v>0</v>
      </c>
      <c r="P57" s="18">
        <f t="shared" si="17"/>
        <v>0</v>
      </c>
      <c r="Q57" s="18">
        <f t="shared" si="17"/>
        <v>0</v>
      </c>
      <c r="R57" s="18">
        <f t="shared" si="17"/>
        <v>0</v>
      </c>
      <c r="S57" s="147">
        <f t="shared" si="17"/>
        <v>0</v>
      </c>
      <c r="T57" s="147">
        <f t="shared" si="17"/>
        <v>0</v>
      </c>
      <c r="U57" s="147">
        <f>SUM(U58:U69)</f>
        <v>0</v>
      </c>
    </row>
    <row r="58" spans="1:24" ht="24" customHeight="1" x14ac:dyDescent="0.25">
      <c r="A58" s="21" t="s">
        <v>1643</v>
      </c>
      <c r="B58" s="22" t="s">
        <v>870</v>
      </c>
      <c r="C58" s="23"/>
      <c r="D58" s="23"/>
      <c r="E58" s="148"/>
      <c r="F58" s="148"/>
      <c r="G58" s="154">
        <f t="shared" ref="G58:G90" si="18">+C58+D58+E58-F58</f>
        <v>0</v>
      </c>
      <c r="H58" s="23"/>
      <c r="I58" s="23"/>
      <c r="J58" s="23"/>
      <c r="K58" s="23"/>
      <c r="L58" s="23"/>
      <c r="M58" s="23"/>
      <c r="N58" s="154"/>
      <c r="O58" s="155">
        <f t="shared" ref="O58:O90" si="19">+G58+N58</f>
        <v>0</v>
      </c>
      <c r="P58" s="23"/>
      <c r="Q58" s="23"/>
      <c r="R58" s="23"/>
      <c r="S58" s="158">
        <f t="shared" ref="S58:S77" si="20">+Q58-R58</f>
        <v>0</v>
      </c>
      <c r="T58" s="158">
        <f t="shared" ref="T58:T90" si="21">+P58+S58</f>
        <v>0</v>
      </c>
      <c r="U58" s="158">
        <f t="shared" ref="U58:U90" si="22">+O58+T58</f>
        <v>0</v>
      </c>
    </row>
    <row r="59" spans="1:24" ht="24" customHeight="1" x14ac:dyDescent="0.25">
      <c r="A59" s="21" t="s">
        <v>1644</v>
      </c>
      <c r="B59" s="22" t="s">
        <v>871</v>
      </c>
      <c r="C59" s="23"/>
      <c r="D59" s="23"/>
      <c r="E59" s="148"/>
      <c r="F59" s="148"/>
      <c r="G59" s="154">
        <f t="shared" si="18"/>
        <v>0</v>
      </c>
      <c r="H59" s="23"/>
      <c r="I59" s="23"/>
      <c r="J59" s="23"/>
      <c r="K59" s="23"/>
      <c r="L59" s="23"/>
      <c r="M59" s="23"/>
      <c r="N59" s="154"/>
      <c r="O59" s="155">
        <f t="shared" si="19"/>
        <v>0</v>
      </c>
      <c r="P59" s="23"/>
      <c r="Q59" s="23"/>
      <c r="R59" s="23"/>
      <c r="S59" s="158">
        <f t="shared" si="20"/>
        <v>0</v>
      </c>
      <c r="T59" s="158">
        <f t="shared" si="21"/>
        <v>0</v>
      </c>
      <c r="U59" s="158">
        <f t="shared" si="22"/>
        <v>0</v>
      </c>
    </row>
    <row r="60" spans="1:24" ht="24" customHeight="1" x14ac:dyDescent="0.25">
      <c r="A60" s="21" t="s">
        <v>1645</v>
      </c>
      <c r="B60" s="22" t="s">
        <v>872</v>
      </c>
      <c r="C60" s="23"/>
      <c r="D60" s="23"/>
      <c r="E60" s="148"/>
      <c r="F60" s="148"/>
      <c r="G60" s="154">
        <f t="shared" si="18"/>
        <v>0</v>
      </c>
      <c r="H60" s="23"/>
      <c r="I60" s="23"/>
      <c r="J60" s="23"/>
      <c r="K60" s="23"/>
      <c r="L60" s="23"/>
      <c r="M60" s="23"/>
      <c r="N60" s="154"/>
      <c r="O60" s="155">
        <f t="shared" si="19"/>
        <v>0</v>
      </c>
      <c r="P60" s="23"/>
      <c r="Q60" s="23"/>
      <c r="R60" s="23"/>
      <c r="S60" s="158">
        <f t="shared" si="20"/>
        <v>0</v>
      </c>
      <c r="T60" s="158">
        <f t="shared" si="21"/>
        <v>0</v>
      </c>
      <c r="U60" s="158">
        <f t="shared" si="22"/>
        <v>0</v>
      </c>
    </row>
    <row r="61" spans="1:24" ht="24" customHeight="1" x14ac:dyDescent="0.25">
      <c r="A61" s="21" t="s">
        <v>1646</v>
      </c>
      <c r="B61" s="22" t="s">
        <v>873</v>
      </c>
      <c r="C61" s="23"/>
      <c r="D61" s="23"/>
      <c r="E61" s="148"/>
      <c r="F61" s="148"/>
      <c r="G61" s="154">
        <f t="shared" si="18"/>
        <v>0</v>
      </c>
      <c r="H61" s="23"/>
      <c r="I61" s="23"/>
      <c r="J61" s="23"/>
      <c r="K61" s="23"/>
      <c r="L61" s="23"/>
      <c r="M61" s="23"/>
      <c r="N61" s="154"/>
      <c r="O61" s="155">
        <f t="shared" si="19"/>
        <v>0</v>
      </c>
      <c r="P61" s="23"/>
      <c r="Q61" s="23"/>
      <c r="R61" s="23"/>
      <c r="S61" s="158">
        <f t="shared" si="20"/>
        <v>0</v>
      </c>
      <c r="T61" s="158">
        <f t="shared" si="21"/>
        <v>0</v>
      </c>
      <c r="U61" s="158">
        <f t="shared" si="22"/>
        <v>0</v>
      </c>
    </row>
    <row r="62" spans="1:24" ht="24" customHeight="1" x14ac:dyDescent="0.25">
      <c r="A62" s="21" t="s">
        <v>1647</v>
      </c>
      <c r="B62" s="22" t="s">
        <v>874</v>
      </c>
      <c r="C62" s="23"/>
      <c r="D62" s="23"/>
      <c r="E62" s="148"/>
      <c r="F62" s="148"/>
      <c r="G62" s="154">
        <f t="shared" si="18"/>
        <v>0</v>
      </c>
      <c r="H62" s="23"/>
      <c r="I62" s="23"/>
      <c r="J62" s="23"/>
      <c r="K62" s="23"/>
      <c r="L62" s="23"/>
      <c r="M62" s="23"/>
      <c r="N62" s="154"/>
      <c r="O62" s="155">
        <f t="shared" si="19"/>
        <v>0</v>
      </c>
      <c r="P62" s="23"/>
      <c r="Q62" s="23"/>
      <c r="R62" s="23"/>
      <c r="S62" s="158">
        <f t="shared" si="20"/>
        <v>0</v>
      </c>
      <c r="T62" s="158">
        <f t="shared" si="21"/>
        <v>0</v>
      </c>
      <c r="U62" s="158">
        <f t="shared" si="22"/>
        <v>0</v>
      </c>
    </row>
    <row r="63" spans="1:24" ht="24" customHeight="1" x14ac:dyDescent="0.25">
      <c r="A63" s="21" t="s">
        <v>1648</v>
      </c>
      <c r="B63" s="22" t="s">
        <v>875</v>
      </c>
      <c r="C63" s="23"/>
      <c r="D63" s="23"/>
      <c r="E63" s="148"/>
      <c r="F63" s="148"/>
      <c r="G63" s="154">
        <f t="shared" si="18"/>
        <v>0</v>
      </c>
      <c r="H63" s="23"/>
      <c r="I63" s="23"/>
      <c r="J63" s="23"/>
      <c r="K63" s="23"/>
      <c r="L63" s="23"/>
      <c r="M63" s="23"/>
      <c r="N63" s="154"/>
      <c r="O63" s="155">
        <f t="shared" si="19"/>
        <v>0</v>
      </c>
      <c r="P63" s="23"/>
      <c r="Q63" s="23"/>
      <c r="R63" s="23"/>
      <c r="S63" s="158">
        <f t="shared" si="20"/>
        <v>0</v>
      </c>
      <c r="T63" s="158">
        <f t="shared" si="21"/>
        <v>0</v>
      </c>
      <c r="U63" s="158">
        <f t="shared" si="22"/>
        <v>0</v>
      </c>
    </row>
    <row r="64" spans="1:24" ht="24" customHeight="1" x14ac:dyDescent="0.25">
      <c r="A64" s="21" t="s">
        <v>1649</v>
      </c>
      <c r="B64" s="22" t="s">
        <v>876</v>
      </c>
      <c r="C64" s="23"/>
      <c r="D64" s="23"/>
      <c r="E64" s="148"/>
      <c r="F64" s="148"/>
      <c r="G64" s="154">
        <f t="shared" si="18"/>
        <v>0</v>
      </c>
      <c r="H64" s="23"/>
      <c r="I64" s="23"/>
      <c r="J64" s="23"/>
      <c r="K64" s="23"/>
      <c r="L64" s="23"/>
      <c r="M64" s="23"/>
      <c r="N64" s="154"/>
      <c r="O64" s="155">
        <f t="shared" si="19"/>
        <v>0</v>
      </c>
      <c r="P64" s="23"/>
      <c r="Q64" s="23"/>
      <c r="R64" s="23"/>
      <c r="S64" s="158">
        <f t="shared" si="20"/>
        <v>0</v>
      </c>
      <c r="T64" s="158">
        <f t="shared" si="21"/>
        <v>0</v>
      </c>
      <c r="U64" s="158">
        <f t="shared" si="22"/>
        <v>0</v>
      </c>
    </row>
    <row r="65" spans="1:21" s="20" customFormat="1" ht="24" customHeight="1" x14ac:dyDescent="0.25">
      <c r="A65" s="21" t="s">
        <v>1650</v>
      </c>
      <c r="B65" s="22" t="s">
        <v>877</v>
      </c>
      <c r="C65" s="23"/>
      <c r="D65" s="23"/>
      <c r="E65" s="148"/>
      <c r="F65" s="148"/>
      <c r="G65" s="154">
        <f t="shared" si="18"/>
        <v>0</v>
      </c>
      <c r="H65" s="23"/>
      <c r="I65" s="23"/>
      <c r="J65" s="23"/>
      <c r="K65" s="23"/>
      <c r="L65" s="23"/>
      <c r="M65" s="23"/>
      <c r="N65" s="154"/>
      <c r="O65" s="155">
        <f t="shared" si="19"/>
        <v>0</v>
      </c>
      <c r="P65" s="23"/>
      <c r="Q65" s="23"/>
      <c r="R65" s="23"/>
      <c r="S65" s="158">
        <f t="shared" si="20"/>
        <v>0</v>
      </c>
      <c r="T65" s="158">
        <f t="shared" si="21"/>
        <v>0</v>
      </c>
      <c r="U65" s="158">
        <f t="shared" si="22"/>
        <v>0</v>
      </c>
    </row>
    <row r="66" spans="1:21" s="20" customFormat="1" ht="24" customHeight="1" x14ac:dyDescent="0.25">
      <c r="A66" s="21" t="s">
        <v>1651</v>
      </c>
      <c r="B66" s="22" t="s">
        <v>878</v>
      </c>
      <c r="C66" s="23"/>
      <c r="D66" s="23"/>
      <c r="E66" s="148"/>
      <c r="F66" s="148"/>
      <c r="G66" s="154">
        <f t="shared" si="18"/>
        <v>0</v>
      </c>
      <c r="H66" s="23"/>
      <c r="I66" s="23"/>
      <c r="J66" s="23"/>
      <c r="K66" s="23"/>
      <c r="L66" s="23"/>
      <c r="M66" s="23"/>
      <c r="N66" s="154"/>
      <c r="O66" s="155">
        <f t="shared" si="19"/>
        <v>0</v>
      </c>
      <c r="P66" s="23"/>
      <c r="Q66" s="23"/>
      <c r="R66" s="23"/>
      <c r="S66" s="158">
        <f t="shared" si="20"/>
        <v>0</v>
      </c>
      <c r="T66" s="158">
        <f t="shared" si="21"/>
        <v>0</v>
      </c>
      <c r="U66" s="158">
        <f t="shared" si="22"/>
        <v>0</v>
      </c>
    </row>
    <row r="67" spans="1:21" s="20" customFormat="1" ht="24" customHeight="1" x14ac:dyDescent="0.25">
      <c r="A67" s="21" t="s">
        <v>1652</v>
      </c>
      <c r="B67" s="22" t="s">
        <v>879</v>
      </c>
      <c r="C67" s="23"/>
      <c r="D67" s="23"/>
      <c r="E67" s="148"/>
      <c r="F67" s="148"/>
      <c r="G67" s="154">
        <f t="shared" si="18"/>
        <v>0</v>
      </c>
      <c r="H67" s="23"/>
      <c r="I67" s="23"/>
      <c r="J67" s="23"/>
      <c r="K67" s="23"/>
      <c r="L67" s="23"/>
      <c r="M67" s="23"/>
      <c r="N67" s="154"/>
      <c r="O67" s="155">
        <f t="shared" si="19"/>
        <v>0</v>
      </c>
      <c r="P67" s="23"/>
      <c r="Q67" s="23"/>
      <c r="R67" s="23"/>
      <c r="S67" s="158">
        <f t="shared" si="20"/>
        <v>0</v>
      </c>
      <c r="T67" s="158">
        <f t="shared" si="21"/>
        <v>0</v>
      </c>
      <c r="U67" s="158">
        <f t="shared" si="22"/>
        <v>0</v>
      </c>
    </row>
    <row r="68" spans="1:21" s="20" customFormat="1" ht="24" customHeight="1" x14ac:dyDescent="0.25">
      <c r="A68" s="21" t="s">
        <v>1653</v>
      </c>
      <c r="B68" s="22" t="s">
        <v>880</v>
      </c>
      <c r="C68" s="23"/>
      <c r="D68" s="23"/>
      <c r="E68" s="148"/>
      <c r="F68" s="148"/>
      <c r="G68" s="154">
        <f t="shared" si="18"/>
        <v>0</v>
      </c>
      <c r="H68" s="23"/>
      <c r="I68" s="23"/>
      <c r="J68" s="23"/>
      <c r="K68" s="23"/>
      <c r="L68" s="23"/>
      <c r="M68" s="23"/>
      <c r="N68" s="154"/>
      <c r="O68" s="155">
        <f t="shared" si="19"/>
        <v>0</v>
      </c>
      <c r="P68" s="23"/>
      <c r="Q68" s="23"/>
      <c r="R68" s="23"/>
      <c r="S68" s="158">
        <f t="shared" si="20"/>
        <v>0</v>
      </c>
      <c r="T68" s="158">
        <f t="shared" si="21"/>
        <v>0</v>
      </c>
      <c r="U68" s="158">
        <f t="shared" si="22"/>
        <v>0</v>
      </c>
    </row>
    <row r="69" spans="1:21" s="20" customFormat="1" ht="24" customHeight="1" x14ac:dyDescent="0.25">
      <c r="A69" s="21" t="s">
        <v>1654</v>
      </c>
      <c r="B69" s="22" t="s">
        <v>881</v>
      </c>
      <c r="C69" s="23"/>
      <c r="D69" s="23"/>
      <c r="E69" s="148"/>
      <c r="F69" s="148"/>
      <c r="G69" s="154">
        <f t="shared" si="18"/>
        <v>0</v>
      </c>
      <c r="H69" s="23"/>
      <c r="I69" s="23"/>
      <c r="J69" s="23"/>
      <c r="K69" s="23"/>
      <c r="L69" s="23"/>
      <c r="M69" s="23"/>
      <c r="N69" s="154"/>
      <c r="O69" s="155">
        <f t="shared" si="19"/>
        <v>0</v>
      </c>
      <c r="P69" s="23"/>
      <c r="Q69" s="23"/>
      <c r="R69" s="23"/>
      <c r="S69" s="158">
        <f t="shared" si="20"/>
        <v>0</v>
      </c>
      <c r="T69" s="158">
        <f t="shared" si="21"/>
        <v>0</v>
      </c>
      <c r="U69" s="158">
        <f t="shared" si="22"/>
        <v>0</v>
      </c>
    </row>
    <row r="70" spans="1:21" s="20" customFormat="1" ht="24" customHeight="1" x14ac:dyDescent="0.25">
      <c r="A70" s="16" t="s">
        <v>1655</v>
      </c>
      <c r="B70" s="17" t="s">
        <v>882</v>
      </c>
      <c r="C70" s="18">
        <f>SUM(C71:C72)</f>
        <v>0</v>
      </c>
      <c r="D70" s="18">
        <f t="shared" ref="D70:T70" si="23">SUM(D71:D72)</f>
        <v>0</v>
      </c>
      <c r="E70" s="147">
        <f t="shared" si="23"/>
        <v>0</v>
      </c>
      <c r="F70" s="147">
        <f t="shared" si="23"/>
        <v>0</v>
      </c>
      <c r="G70" s="147">
        <f t="shared" si="23"/>
        <v>0</v>
      </c>
      <c r="H70" s="18">
        <f t="shared" si="23"/>
        <v>0</v>
      </c>
      <c r="I70" s="18">
        <f t="shared" si="23"/>
        <v>0</v>
      </c>
      <c r="J70" s="18">
        <f t="shared" si="23"/>
        <v>0</v>
      </c>
      <c r="K70" s="18">
        <f t="shared" si="23"/>
        <v>0</v>
      </c>
      <c r="L70" s="18">
        <f t="shared" si="23"/>
        <v>0</v>
      </c>
      <c r="M70" s="18">
        <f t="shared" si="23"/>
        <v>0</v>
      </c>
      <c r="N70" s="147">
        <f t="shared" si="23"/>
        <v>0</v>
      </c>
      <c r="O70" s="147">
        <f t="shared" si="23"/>
        <v>0</v>
      </c>
      <c r="P70" s="18">
        <f t="shared" si="23"/>
        <v>0</v>
      </c>
      <c r="Q70" s="18">
        <f t="shared" si="23"/>
        <v>0</v>
      </c>
      <c r="R70" s="18">
        <f t="shared" si="23"/>
        <v>0</v>
      </c>
      <c r="S70" s="147">
        <f t="shared" si="23"/>
        <v>0</v>
      </c>
      <c r="T70" s="147">
        <f t="shared" si="23"/>
        <v>0</v>
      </c>
      <c r="U70" s="147">
        <f>SUM(U71:U72)</f>
        <v>0</v>
      </c>
    </row>
    <row r="71" spans="1:21" s="20" customFormat="1" ht="24" customHeight="1" x14ac:dyDescent="0.25">
      <c r="A71" s="21" t="s">
        <v>1656</v>
      </c>
      <c r="B71" s="22" t="s">
        <v>883</v>
      </c>
      <c r="C71" s="23"/>
      <c r="D71" s="23"/>
      <c r="E71" s="148"/>
      <c r="F71" s="148"/>
      <c r="G71" s="154">
        <f t="shared" si="18"/>
        <v>0</v>
      </c>
      <c r="H71" s="23"/>
      <c r="I71" s="23"/>
      <c r="J71" s="23"/>
      <c r="K71" s="23"/>
      <c r="L71" s="23"/>
      <c r="M71" s="23"/>
      <c r="N71" s="154"/>
      <c r="O71" s="155">
        <f t="shared" si="19"/>
        <v>0</v>
      </c>
      <c r="P71" s="23"/>
      <c r="Q71" s="23"/>
      <c r="R71" s="23"/>
      <c r="S71" s="158">
        <f t="shared" si="20"/>
        <v>0</v>
      </c>
      <c r="T71" s="158">
        <f t="shared" si="21"/>
        <v>0</v>
      </c>
      <c r="U71" s="158">
        <f t="shared" si="22"/>
        <v>0</v>
      </c>
    </row>
    <row r="72" spans="1:21" s="20" customFormat="1" ht="24" customHeight="1" x14ac:dyDescent="0.25">
      <c r="A72" s="21" t="s">
        <v>1657</v>
      </c>
      <c r="B72" s="22" t="s">
        <v>884</v>
      </c>
      <c r="C72" s="23"/>
      <c r="D72" s="23"/>
      <c r="E72" s="148"/>
      <c r="F72" s="148"/>
      <c r="G72" s="154">
        <f t="shared" si="18"/>
        <v>0</v>
      </c>
      <c r="H72" s="23"/>
      <c r="I72" s="23"/>
      <c r="J72" s="23"/>
      <c r="K72" s="23"/>
      <c r="L72" s="23"/>
      <c r="M72" s="23"/>
      <c r="N72" s="154"/>
      <c r="O72" s="155">
        <f t="shared" si="19"/>
        <v>0</v>
      </c>
      <c r="P72" s="23"/>
      <c r="Q72" s="23"/>
      <c r="R72" s="23"/>
      <c r="S72" s="158">
        <f t="shared" si="20"/>
        <v>0</v>
      </c>
      <c r="T72" s="158">
        <f t="shared" si="21"/>
        <v>0</v>
      </c>
      <c r="U72" s="158">
        <f t="shared" si="22"/>
        <v>0</v>
      </c>
    </row>
    <row r="73" spans="1:21" s="20" customFormat="1" ht="24" customHeight="1" x14ac:dyDescent="0.25">
      <c r="A73" s="16" t="s">
        <v>1658</v>
      </c>
      <c r="B73" s="17" t="s">
        <v>899</v>
      </c>
      <c r="C73" s="18">
        <f>SUM(C74:C77)</f>
        <v>0</v>
      </c>
      <c r="D73" s="18">
        <f t="shared" ref="D73:T73" si="24">SUM(D74:D77)</f>
        <v>0</v>
      </c>
      <c r="E73" s="147">
        <f t="shared" si="24"/>
        <v>0</v>
      </c>
      <c r="F73" s="147">
        <f t="shared" si="24"/>
        <v>0</v>
      </c>
      <c r="G73" s="147">
        <f t="shared" si="24"/>
        <v>0</v>
      </c>
      <c r="H73" s="18">
        <f t="shared" si="24"/>
        <v>0</v>
      </c>
      <c r="I73" s="18">
        <f t="shared" si="24"/>
        <v>0</v>
      </c>
      <c r="J73" s="18">
        <f t="shared" si="24"/>
        <v>0</v>
      </c>
      <c r="K73" s="18">
        <f t="shared" si="24"/>
        <v>0</v>
      </c>
      <c r="L73" s="18">
        <f t="shared" si="24"/>
        <v>0</v>
      </c>
      <c r="M73" s="18">
        <f t="shared" si="24"/>
        <v>0</v>
      </c>
      <c r="N73" s="147">
        <f t="shared" si="24"/>
        <v>0</v>
      </c>
      <c r="O73" s="147">
        <f t="shared" si="24"/>
        <v>0</v>
      </c>
      <c r="P73" s="18">
        <f t="shared" si="24"/>
        <v>0</v>
      </c>
      <c r="Q73" s="18">
        <f t="shared" si="24"/>
        <v>0</v>
      </c>
      <c r="R73" s="18">
        <f t="shared" si="24"/>
        <v>0</v>
      </c>
      <c r="S73" s="147">
        <f t="shared" si="24"/>
        <v>0</v>
      </c>
      <c r="T73" s="147">
        <f t="shared" si="24"/>
        <v>0</v>
      </c>
      <c r="U73" s="147">
        <f>SUM(U74:U77)</f>
        <v>0</v>
      </c>
    </row>
    <row r="74" spans="1:21" s="20" customFormat="1" ht="24" customHeight="1" x14ac:dyDescent="0.25">
      <c r="A74" s="21" t="s">
        <v>1659</v>
      </c>
      <c r="B74" s="22" t="s">
        <v>1617</v>
      </c>
      <c r="C74" s="23"/>
      <c r="D74" s="23"/>
      <c r="E74" s="148"/>
      <c r="F74" s="148"/>
      <c r="G74" s="154">
        <f t="shared" si="18"/>
        <v>0</v>
      </c>
      <c r="H74" s="23"/>
      <c r="I74" s="23"/>
      <c r="J74" s="23"/>
      <c r="K74" s="23"/>
      <c r="L74" s="23"/>
      <c r="M74" s="23"/>
      <c r="N74" s="154"/>
      <c r="O74" s="155">
        <f t="shared" si="19"/>
        <v>0</v>
      </c>
      <c r="P74" s="23"/>
      <c r="Q74" s="23"/>
      <c r="R74" s="23"/>
      <c r="S74" s="158">
        <f t="shared" si="20"/>
        <v>0</v>
      </c>
      <c r="T74" s="158">
        <f t="shared" si="21"/>
        <v>0</v>
      </c>
      <c r="U74" s="158">
        <f t="shared" si="22"/>
        <v>0</v>
      </c>
    </row>
    <row r="75" spans="1:21" s="20" customFormat="1" ht="24" customHeight="1" x14ac:dyDescent="0.25">
      <c r="A75" s="21" t="s">
        <v>1660</v>
      </c>
      <c r="B75" s="22" t="s">
        <v>885</v>
      </c>
      <c r="C75" s="23"/>
      <c r="D75" s="23"/>
      <c r="E75" s="148"/>
      <c r="F75" s="148"/>
      <c r="G75" s="154">
        <f t="shared" si="18"/>
        <v>0</v>
      </c>
      <c r="H75" s="23"/>
      <c r="I75" s="23"/>
      <c r="J75" s="23"/>
      <c r="K75" s="23"/>
      <c r="L75" s="23"/>
      <c r="M75" s="23"/>
      <c r="N75" s="154"/>
      <c r="O75" s="155">
        <f t="shared" si="19"/>
        <v>0</v>
      </c>
      <c r="P75" s="23"/>
      <c r="Q75" s="23"/>
      <c r="R75" s="23"/>
      <c r="S75" s="158">
        <f t="shared" si="20"/>
        <v>0</v>
      </c>
      <c r="T75" s="158">
        <f t="shared" si="21"/>
        <v>0</v>
      </c>
      <c r="U75" s="158">
        <f t="shared" si="22"/>
        <v>0</v>
      </c>
    </row>
    <row r="76" spans="1:21" s="20" customFormat="1" ht="24" customHeight="1" x14ac:dyDescent="0.25">
      <c r="A76" s="21" t="s">
        <v>1661</v>
      </c>
      <c r="B76" s="22" t="s">
        <v>886</v>
      </c>
      <c r="C76" s="23"/>
      <c r="D76" s="23"/>
      <c r="E76" s="148"/>
      <c r="F76" s="148"/>
      <c r="G76" s="154">
        <f t="shared" si="18"/>
        <v>0</v>
      </c>
      <c r="H76" s="23"/>
      <c r="I76" s="23"/>
      <c r="J76" s="23"/>
      <c r="K76" s="23"/>
      <c r="L76" s="23"/>
      <c r="M76" s="23"/>
      <c r="N76" s="154"/>
      <c r="O76" s="155">
        <f t="shared" si="19"/>
        <v>0</v>
      </c>
      <c r="P76" s="23"/>
      <c r="Q76" s="23"/>
      <c r="R76" s="23"/>
      <c r="S76" s="158">
        <f t="shared" si="20"/>
        <v>0</v>
      </c>
      <c r="T76" s="158">
        <f t="shared" si="21"/>
        <v>0</v>
      </c>
      <c r="U76" s="158">
        <f t="shared" si="22"/>
        <v>0</v>
      </c>
    </row>
    <row r="77" spans="1:21" s="20" customFormat="1" ht="24" customHeight="1" x14ac:dyDescent="0.25">
      <c r="A77" s="21" t="s">
        <v>1662</v>
      </c>
      <c r="B77" s="22" t="s">
        <v>887</v>
      </c>
      <c r="C77" s="23"/>
      <c r="D77" s="23"/>
      <c r="E77" s="148"/>
      <c r="F77" s="148"/>
      <c r="G77" s="154">
        <f t="shared" si="18"/>
        <v>0</v>
      </c>
      <c r="H77" s="23"/>
      <c r="I77" s="23"/>
      <c r="J77" s="23"/>
      <c r="K77" s="23"/>
      <c r="L77" s="23"/>
      <c r="M77" s="23"/>
      <c r="N77" s="154"/>
      <c r="O77" s="155">
        <f t="shared" si="19"/>
        <v>0</v>
      </c>
      <c r="P77" s="23"/>
      <c r="Q77" s="23"/>
      <c r="R77" s="23"/>
      <c r="S77" s="158">
        <f t="shared" si="20"/>
        <v>0</v>
      </c>
      <c r="T77" s="158">
        <f t="shared" si="21"/>
        <v>0</v>
      </c>
      <c r="U77" s="158">
        <f t="shared" si="22"/>
        <v>0</v>
      </c>
    </row>
    <row r="78" spans="1:21" s="20" customFormat="1" ht="24" customHeight="1" x14ac:dyDescent="0.25">
      <c r="A78" s="16" t="s">
        <v>1663</v>
      </c>
      <c r="B78" s="17" t="s">
        <v>904</v>
      </c>
      <c r="C78" s="18">
        <f>SUM(C79:C80)</f>
        <v>0</v>
      </c>
      <c r="D78" s="18">
        <f t="shared" ref="D78:U78" si="25">SUM(D79:D80)</f>
        <v>0</v>
      </c>
      <c r="E78" s="147">
        <f t="shared" si="25"/>
        <v>0</v>
      </c>
      <c r="F78" s="147">
        <f t="shared" si="25"/>
        <v>0</v>
      </c>
      <c r="G78" s="147">
        <f t="shared" si="25"/>
        <v>0</v>
      </c>
      <c r="H78" s="18">
        <f t="shared" si="25"/>
        <v>0</v>
      </c>
      <c r="I78" s="18">
        <f t="shared" si="25"/>
        <v>0</v>
      </c>
      <c r="J78" s="18">
        <f t="shared" si="25"/>
        <v>0</v>
      </c>
      <c r="K78" s="18">
        <f t="shared" si="25"/>
        <v>0</v>
      </c>
      <c r="L78" s="18">
        <f t="shared" si="25"/>
        <v>0</v>
      </c>
      <c r="M78" s="18">
        <f t="shared" si="25"/>
        <v>0</v>
      </c>
      <c r="N78" s="147">
        <f t="shared" si="25"/>
        <v>0</v>
      </c>
      <c r="O78" s="147">
        <f t="shared" si="25"/>
        <v>0</v>
      </c>
      <c r="P78" s="18">
        <f t="shared" si="25"/>
        <v>0</v>
      </c>
      <c r="Q78" s="18">
        <f t="shared" si="25"/>
        <v>0</v>
      </c>
      <c r="R78" s="18">
        <f t="shared" si="25"/>
        <v>0</v>
      </c>
      <c r="S78" s="147">
        <f t="shared" si="25"/>
        <v>0</v>
      </c>
      <c r="T78" s="147">
        <f t="shared" si="25"/>
        <v>0</v>
      </c>
      <c r="U78" s="147">
        <f t="shared" si="25"/>
        <v>0</v>
      </c>
    </row>
    <row r="79" spans="1:21" s="20" customFormat="1" ht="24" customHeight="1" x14ac:dyDescent="0.25">
      <c r="A79" s="21" t="s">
        <v>1664</v>
      </c>
      <c r="B79" s="22" t="s">
        <v>891</v>
      </c>
      <c r="C79" s="23"/>
      <c r="D79" s="23"/>
      <c r="E79" s="148"/>
      <c r="F79" s="148"/>
      <c r="G79" s="154">
        <f t="shared" si="18"/>
        <v>0</v>
      </c>
      <c r="H79" s="23"/>
      <c r="I79" s="23"/>
      <c r="J79" s="23"/>
      <c r="K79" s="23"/>
      <c r="L79" s="23"/>
      <c r="M79" s="23"/>
      <c r="N79" s="154"/>
      <c r="O79" s="155">
        <f t="shared" si="19"/>
        <v>0</v>
      </c>
      <c r="P79" s="23"/>
      <c r="Q79" s="23"/>
      <c r="R79" s="23"/>
      <c r="S79" s="158">
        <f t="shared" ref="S79:S80" si="26">+P79+Q79-R79</f>
        <v>0</v>
      </c>
      <c r="T79" s="158">
        <f t="shared" si="21"/>
        <v>0</v>
      </c>
      <c r="U79" s="158">
        <f t="shared" si="22"/>
        <v>0</v>
      </c>
    </row>
    <row r="80" spans="1:21" s="20" customFormat="1" ht="24" customHeight="1" x14ac:dyDescent="0.25">
      <c r="A80" s="21" t="s">
        <v>1665</v>
      </c>
      <c r="B80" s="22" t="s">
        <v>892</v>
      </c>
      <c r="C80" s="23"/>
      <c r="D80" s="23"/>
      <c r="E80" s="148"/>
      <c r="F80" s="148"/>
      <c r="G80" s="154">
        <f t="shared" si="18"/>
        <v>0</v>
      </c>
      <c r="H80" s="23"/>
      <c r="I80" s="23"/>
      <c r="J80" s="23"/>
      <c r="K80" s="23"/>
      <c r="L80" s="23"/>
      <c r="M80" s="23"/>
      <c r="N80" s="154"/>
      <c r="O80" s="155">
        <f t="shared" si="19"/>
        <v>0</v>
      </c>
      <c r="P80" s="23"/>
      <c r="Q80" s="23"/>
      <c r="R80" s="23"/>
      <c r="S80" s="158">
        <f t="shared" si="26"/>
        <v>0</v>
      </c>
      <c r="T80" s="158">
        <f t="shared" si="21"/>
        <v>0</v>
      </c>
      <c r="U80" s="158">
        <f t="shared" si="22"/>
        <v>0</v>
      </c>
    </row>
    <row r="81" spans="1:24" ht="24" customHeight="1" x14ac:dyDescent="0.25">
      <c r="A81" s="16" t="s">
        <v>1666</v>
      </c>
      <c r="B81" s="17" t="s">
        <v>893</v>
      </c>
      <c r="C81" s="18">
        <f>SUM(C82:C85)</f>
        <v>0</v>
      </c>
      <c r="D81" s="18">
        <f t="shared" ref="D81:U81" si="27">SUM(D82:D85)</f>
        <v>0</v>
      </c>
      <c r="E81" s="147">
        <f t="shared" si="27"/>
        <v>0</v>
      </c>
      <c r="F81" s="147">
        <f t="shared" si="27"/>
        <v>0</v>
      </c>
      <c r="G81" s="147">
        <f t="shared" si="27"/>
        <v>0</v>
      </c>
      <c r="H81" s="18">
        <f t="shared" si="27"/>
        <v>0</v>
      </c>
      <c r="I81" s="18">
        <f t="shared" si="27"/>
        <v>0</v>
      </c>
      <c r="J81" s="18">
        <f t="shared" si="27"/>
        <v>0</v>
      </c>
      <c r="K81" s="18">
        <f t="shared" si="27"/>
        <v>0</v>
      </c>
      <c r="L81" s="18">
        <f t="shared" si="27"/>
        <v>0</v>
      </c>
      <c r="M81" s="18">
        <f t="shared" si="27"/>
        <v>0</v>
      </c>
      <c r="N81" s="147">
        <f t="shared" si="27"/>
        <v>0</v>
      </c>
      <c r="O81" s="147">
        <f t="shared" si="27"/>
        <v>0</v>
      </c>
      <c r="P81" s="18">
        <f t="shared" si="27"/>
        <v>0</v>
      </c>
      <c r="Q81" s="18">
        <f t="shared" si="27"/>
        <v>0</v>
      </c>
      <c r="R81" s="18">
        <f t="shared" si="27"/>
        <v>0</v>
      </c>
      <c r="S81" s="147">
        <f t="shared" si="27"/>
        <v>0</v>
      </c>
      <c r="T81" s="147">
        <f t="shared" si="27"/>
        <v>0</v>
      </c>
      <c r="U81" s="147">
        <f t="shared" si="27"/>
        <v>0</v>
      </c>
    </row>
    <row r="82" spans="1:24" ht="24" customHeight="1" x14ac:dyDescent="0.25">
      <c r="A82" s="21" t="s">
        <v>1667</v>
      </c>
      <c r="B82" s="22" t="s">
        <v>894</v>
      </c>
      <c r="C82" s="23"/>
      <c r="D82" s="23"/>
      <c r="E82" s="148"/>
      <c r="F82" s="148"/>
      <c r="G82" s="154">
        <f t="shared" si="18"/>
        <v>0</v>
      </c>
      <c r="H82" s="23"/>
      <c r="I82" s="23"/>
      <c r="J82" s="23"/>
      <c r="K82" s="23"/>
      <c r="L82" s="23"/>
      <c r="M82" s="23"/>
      <c r="N82" s="154"/>
      <c r="O82" s="155">
        <f t="shared" si="19"/>
        <v>0</v>
      </c>
      <c r="P82" s="23"/>
      <c r="Q82" s="23"/>
      <c r="R82" s="23"/>
      <c r="S82" s="158">
        <f t="shared" ref="S82:S90" si="28">+Q82-R82</f>
        <v>0</v>
      </c>
      <c r="T82" s="158">
        <f t="shared" si="21"/>
        <v>0</v>
      </c>
      <c r="U82" s="158">
        <f t="shared" si="22"/>
        <v>0</v>
      </c>
    </row>
    <row r="83" spans="1:24" ht="24" customHeight="1" x14ac:dyDescent="0.25">
      <c r="A83" s="21" t="s">
        <v>1668</v>
      </c>
      <c r="B83" s="22" t="s">
        <v>895</v>
      </c>
      <c r="C83" s="23"/>
      <c r="D83" s="23"/>
      <c r="E83" s="148"/>
      <c r="F83" s="148"/>
      <c r="G83" s="154">
        <f t="shared" si="18"/>
        <v>0</v>
      </c>
      <c r="H83" s="23"/>
      <c r="I83" s="23"/>
      <c r="J83" s="23"/>
      <c r="K83" s="23"/>
      <c r="L83" s="23"/>
      <c r="M83" s="23"/>
      <c r="N83" s="154"/>
      <c r="O83" s="155">
        <f t="shared" si="19"/>
        <v>0</v>
      </c>
      <c r="P83" s="23"/>
      <c r="Q83" s="23"/>
      <c r="R83" s="23"/>
      <c r="S83" s="158">
        <f t="shared" si="28"/>
        <v>0</v>
      </c>
      <c r="T83" s="158">
        <f t="shared" si="21"/>
        <v>0</v>
      </c>
      <c r="U83" s="158">
        <f t="shared" si="22"/>
        <v>0</v>
      </c>
    </row>
    <row r="84" spans="1:24" ht="24" customHeight="1" x14ac:dyDescent="0.25">
      <c r="A84" s="21" t="s">
        <v>1669</v>
      </c>
      <c r="B84" s="22" t="s">
        <v>896</v>
      </c>
      <c r="C84" s="23"/>
      <c r="D84" s="23"/>
      <c r="E84" s="148"/>
      <c r="F84" s="148"/>
      <c r="G84" s="154">
        <f t="shared" si="18"/>
        <v>0</v>
      </c>
      <c r="H84" s="23"/>
      <c r="I84" s="23"/>
      <c r="J84" s="23"/>
      <c r="K84" s="23"/>
      <c r="L84" s="23"/>
      <c r="M84" s="23"/>
      <c r="N84" s="154"/>
      <c r="O84" s="155">
        <f t="shared" si="19"/>
        <v>0</v>
      </c>
      <c r="P84" s="23"/>
      <c r="Q84" s="23"/>
      <c r="R84" s="23"/>
      <c r="S84" s="158">
        <f t="shared" si="28"/>
        <v>0</v>
      </c>
      <c r="T84" s="158">
        <f t="shared" si="21"/>
        <v>0</v>
      </c>
      <c r="U84" s="158">
        <f t="shared" si="22"/>
        <v>0</v>
      </c>
    </row>
    <row r="85" spans="1:24" ht="24" customHeight="1" x14ac:dyDescent="0.25">
      <c r="A85" s="21" t="s">
        <v>1670</v>
      </c>
      <c r="B85" s="22" t="s">
        <v>897</v>
      </c>
      <c r="C85" s="23"/>
      <c r="D85" s="23"/>
      <c r="E85" s="148"/>
      <c r="F85" s="148"/>
      <c r="G85" s="154">
        <f t="shared" si="18"/>
        <v>0</v>
      </c>
      <c r="H85" s="23"/>
      <c r="I85" s="23"/>
      <c r="J85" s="23"/>
      <c r="K85" s="23"/>
      <c r="L85" s="23"/>
      <c r="M85" s="23"/>
      <c r="N85" s="154"/>
      <c r="O85" s="155">
        <f t="shared" si="19"/>
        <v>0</v>
      </c>
      <c r="P85" s="23"/>
      <c r="Q85" s="23"/>
      <c r="R85" s="23"/>
      <c r="S85" s="158">
        <f t="shared" si="28"/>
        <v>0</v>
      </c>
      <c r="T85" s="158">
        <f t="shared" si="21"/>
        <v>0</v>
      </c>
      <c r="U85" s="158">
        <f t="shared" si="22"/>
        <v>0</v>
      </c>
    </row>
    <row r="86" spans="1:24" ht="24" customHeight="1" x14ac:dyDescent="0.25">
      <c r="A86" s="16" t="s">
        <v>1671</v>
      </c>
      <c r="B86" s="17" t="s">
        <v>149</v>
      </c>
      <c r="C86" s="18">
        <f>SUM(C87:C90)</f>
        <v>0</v>
      </c>
      <c r="D86" s="18">
        <f t="shared" ref="D86:T86" si="29">SUM(D87:D90)</f>
        <v>0</v>
      </c>
      <c r="E86" s="147">
        <f t="shared" si="29"/>
        <v>0</v>
      </c>
      <c r="F86" s="147">
        <f t="shared" si="29"/>
        <v>0</v>
      </c>
      <c r="G86" s="147">
        <f t="shared" si="29"/>
        <v>0</v>
      </c>
      <c r="H86" s="18">
        <f t="shared" si="29"/>
        <v>0</v>
      </c>
      <c r="I86" s="18">
        <f t="shared" si="29"/>
        <v>0</v>
      </c>
      <c r="J86" s="18">
        <f t="shared" si="29"/>
        <v>0</v>
      </c>
      <c r="K86" s="18">
        <f t="shared" si="29"/>
        <v>0</v>
      </c>
      <c r="L86" s="18">
        <f t="shared" si="29"/>
        <v>0</v>
      </c>
      <c r="M86" s="18">
        <f t="shared" si="29"/>
        <v>0</v>
      </c>
      <c r="N86" s="147">
        <f t="shared" si="29"/>
        <v>0</v>
      </c>
      <c r="O86" s="147">
        <f t="shared" si="29"/>
        <v>0</v>
      </c>
      <c r="P86" s="18">
        <f t="shared" si="29"/>
        <v>0</v>
      </c>
      <c r="Q86" s="18">
        <f t="shared" si="29"/>
        <v>0</v>
      </c>
      <c r="R86" s="18">
        <f t="shared" si="29"/>
        <v>0</v>
      </c>
      <c r="S86" s="147">
        <f t="shared" si="29"/>
        <v>0</v>
      </c>
      <c r="T86" s="147">
        <f t="shared" si="29"/>
        <v>0</v>
      </c>
      <c r="U86" s="147">
        <f>SUM(U87:U90)</f>
        <v>0</v>
      </c>
    </row>
    <row r="87" spans="1:24" ht="24" customHeight="1" x14ac:dyDescent="0.25">
      <c r="A87" s="21" t="s">
        <v>1672</v>
      </c>
      <c r="B87" s="22" t="s">
        <v>898</v>
      </c>
      <c r="C87" s="23"/>
      <c r="D87" s="23"/>
      <c r="E87" s="148"/>
      <c r="F87" s="148"/>
      <c r="G87" s="154">
        <f t="shared" si="18"/>
        <v>0</v>
      </c>
      <c r="H87" s="23"/>
      <c r="I87" s="23"/>
      <c r="J87" s="23"/>
      <c r="K87" s="23"/>
      <c r="L87" s="23"/>
      <c r="M87" s="23"/>
      <c r="N87" s="154"/>
      <c r="O87" s="155">
        <f t="shared" si="19"/>
        <v>0</v>
      </c>
      <c r="P87" s="23"/>
      <c r="Q87" s="23"/>
      <c r="R87" s="23"/>
      <c r="S87" s="158">
        <f t="shared" si="28"/>
        <v>0</v>
      </c>
      <c r="T87" s="158">
        <f t="shared" si="21"/>
        <v>0</v>
      </c>
      <c r="U87" s="158">
        <f t="shared" si="22"/>
        <v>0</v>
      </c>
    </row>
    <row r="88" spans="1:24" ht="24" customHeight="1" x14ac:dyDescent="0.25">
      <c r="A88" s="21" t="s">
        <v>1673</v>
      </c>
      <c r="B88" s="22" t="s">
        <v>899</v>
      </c>
      <c r="C88" s="23"/>
      <c r="D88" s="23"/>
      <c r="E88" s="148"/>
      <c r="F88" s="148"/>
      <c r="G88" s="154">
        <f t="shared" si="18"/>
        <v>0</v>
      </c>
      <c r="H88" s="23"/>
      <c r="I88" s="23"/>
      <c r="J88" s="23"/>
      <c r="K88" s="23"/>
      <c r="L88" s="23"/>
      <c r="M88" s="23"/>
      <c r="N88" s="154"/>
      <c r="O88" s="155">
        <f t="shared" si="19"/>
        <v>0</v>
      </c>
      <c r="P88" s="23"/>
      <c r="Q88" s="23"/>
      <c r="R88" s="23"/>
      <c r="S88" s="158">
        <f t="shared" si="28"/>
        <v>0</v>
      </c>
      <c r="T88" s="158">
        <f t="shared" si="21"/>
        <v>0</v>
      </c>
      <c r="U88" s="158">
        <f t="shared" si="22"/>
        <v>0</v>
      </c>
    </row>
    <row r="89" spans="1:24" ht="24" customHeight="1" x14ac:dyDescent="0.25">
      <c r="A89" s="21" t="s">
        <v>148</v>
      </c>
      <c r="B89" s="22" t="s">
        <v>900</v>
      </c>
      <c r="C89" s="23"/>
      <c r="D89" s="23"/>
      <c r="E89" s="148"/>
      <c r="F89" s="148"/>
      <c r="G89" s="154">
        <f t="shared" si="18"/>
        <v>0</v>
      </c>
      <c r="H89" s="23"/>
      <c r="I89" s="23"/>
      <c r="J89" s="23"/>
      <c r="K89" s="23"/>
      <c r="L89" s="23"/>
      <c r="M89" s="23"/>
      <c r="N89" s="154"/>
      <c r="O89" s="155">
        <f t="shared" si="19"/>
        <v>0</v>
      </c>
      <c r="P89" s="23"/>
      <c r="Q89" s="23"/>
      <c r="R89" s="23"/>
      <c r="S89" s="158">
        <f t="shared" si="28"/>
        <v>0</v>
      </c>
      <c r="T89" s="158">
        <f t="shared" si="21"/>
        <v>0</v>
      </c>
      <c r="U89" s="158">
        <f t="shared" si="22"/>
        <v>0</v>
      </c>
    </row>
    <row r="90" spans="1:24" ht="24" customHeight="1" x14ac:dyDescent="0.25">
      <c r="A90" s="21" t="s">
        <v>1674</v>
      </c>
      <c r="B90" s="22" t="s">
        <v>893</v>
      </c>
      <c r="C90" s="23"/>
      <c r="D90" s="23"/>
      <c r="E90" s="148"/>
      <c r="F90" s="148"/>
      <c r="G90" s="154">
        <f t="shared" si="18"/>
        <v>0</v>
      </c>
      <c r="H90" s="23"/>
      <c r="I90" s="23"/>
      <c r="J90" s="23"/>
      <c r="K90" s="23"/>
      <c r="L90" s="23"/>
      <c r="M90" s="23"/>
      <c r="N90" s="154"/>
      <c r="O90" s="155">
        <f t="shared" si="19"/>
        <v>0</v>
      </c>
      <c r="P90" s="23"/>
      <c r="Q90" s="23"/>
      <c r="R90" s="23"/>
      <c r="S90" s="158">
        <f t="shared" si="28"/>
        <v>0</v>
      </c>
      <c r="T90" s="158">
        <f t="shared" si="21"/>
        <v>0</v>
      </c>
      <c r="U90" s="158">
        <f t="shared" si="22"/>
        <v>0</v>
      </c>
    </row>
    <row r="91" spans="1:24" s="4" customFormat="1" ht="21" customHeight="1" x14ac:dyDescent="0.25">
      <c r="A91" s="182" t="s">
        <v>905</v>
      </c>
      <c r="B91" s="182"/>
      <c r="C91" s="27">
        <f t="shared" ref="C91:S91" si="30">+C86+C81+C78+C73+C70+C57</f>
        <v>0</v>
      </c>
      <c r="D91" s="27">
        <f t="shared" si="30"/>
        <v>0</v>
      </c>
      <c r="E91" s="149">
        <f t="shared" si="30"/>
        <v>0</v>
      </c>
      <c r="F91" s="149">
        <f t="shared" si="30"/>
        <v>0</v>
      </c>
      <c r="G91" s="149">
        <f t="shared" si="30"/>
        <v>0</v>
      </c>
      <c r="H91" s="27">
        <f t="shared" si="30"/>
        <v>0</v>
      </c>
      <c r="I91" s="27">
        <f t="shared" si="30"/>
        <v>0</v>
      </c>
      <c r="J91" s="27">
        <f t="shared" si="30"/>
        <v>0</v>
      </c>
      <c r="K91" s="27">
        <f t="shared" si="30"/>
        <v>0</v>
      </c>
      <c r="L91" s="27">
        <f t="shared" si="30"/>
        <v>0</v>
      </c>
      <c r="M91" s="27">
        <f t="shared" si="30"/>
        <v>0</v>
      </c>
      <c r="N91" s="149">
        <f t="shared" si="30"/>
        <v>0</v>
      </c>
      <c r="O91" s="149">
        <f t="shared" si="30"/>
        <v>0</v>
      </c>
      <c r="P91" s="27">
        <f t="shared" si="30"/>
        <v>0</v>
      </c>
      <c r="Q91" s="27">
        <f t="shared" si="30"/>
        <v>0</v>
      </c>
      <c r="R91" s="27">
        <f t="shared" si="30"/>
        <v>0</v>
      </c>
      <c r="S91" s="149">
        <f t="shared" si="30"/>
        <v>0</v>
      </c>
      <c r="T91" s="149">
        <f>+T86+T81+T78+T73+T70+T57</f>
        <v>0</v>
      </c>
      <c r="U91" s="149">
        <f>+U86+U81+U78+U73+U70+U57</f>
        <v>0</v>
      </c>
      <c r="V91" s="28"/>
      <c r="W91" s="5"/>
      <c r="X91" s="5"/>
    </row>
    <row r="92" spans="1:24" ht="6.75" customHeight="1" x14ac:dyDescent="0.25">
      <c r="A92" s="29"/>
      <c r="B92" s="30"/>
      <c r="C92" s="31"/>
      <c r="D92" s="31"/>
      <c r="E92" s="150"/>
      <c r="F92" s="150"/>
      <c r="G92" s="150"/>
      <c r="H92" s="31"/>
      <c r="I92" s="31"/>
      <c r="J92" s="31"/>
      <c r="K92" s="31"/>
      <c r="L92" s="31"/>
      <c r="M92" s="31"/>
      <c r="N92" s="150"/>
      <c r="O92" s="156"/>
      <c r="P92" s="31"/>
      <c r="Q92" s="31"/>
      <c r="R92" s="31"/>
      <c r="S92" s="150"/>
      <c r="T92" s="150"/>
      <c r="U92" s="156"/>
    </row>
    <row r="93" spans="1:24" s="4" customFormat="1" ht="32.25" customHeight="1" x14ac:dyDescent="0.25">
      <c r="A93" s="183" t="s">
        <v>1675</v>
      </c>
      <c r="B93" s="183"/>
      <c r="C93" s="32">
        <f t="shared" ref="C93:U93" si="31">+C91+C55</f>
        <v>1573639.0632100001</v>
      </c>
      <c r="D93" s="32">
        <f t="shared" si="31"/>
        <v>0</v>
      </c>
      <c r="E93" s="151">
        <f t="shared" si="31"/>
        <v>165274.5404</v>
      </c>
      <c r="F93" s="151">
        <f t="shared" si="31"/>
        <v>4328.32</v>
      </c>
      <c r="G93" s="151">
        <f t="shared" si="31"/>
        <v>1734585.28361</v>
      </c>
      <c r="H93" s="32">
        <f t="shared" si="31"/>
        <v>64095.537360000002</v>
      </c>
      <c r="I93" s="32">
        <f t="shared" si="31"/>
        <v>-735.36138000000005</v>
      </c>
      <c r="J93" s="32">
        <f t="shared" si="31"/>
        <v>0</v>
      </c>
      <c r="K93" s="32">
        <f t="shared" si="31"/>
        <v>306180.52068999998</v>
      </c>
      <c r="L93" s="32">
        <f t="shared" si="31"/>
        <v>-109609.25343000001</v>
      </c>
      <c r="M93" s="32">
        <f t="shared" si="31"/>
        <v>-11187.56574</v>
      </c>
      <c r="N93" s="151">
        <f t="shared" si="31"/>
        <v>248743.8775</v>
      </c>
      <c r="O93" s="151">
        <f t="shared" si="31"/>
        <v>1983329.16111</v>
      </c>
      <c r="P93" s="32">
        <f t="shared" si="31"/>
        <v>-259806.19386</v>
      </c>
      <c r="Q93" s="32">
        <f t="shared" si="31"/>
        <v>-46624.779790000001</v>
      </c>
      <c r="R93" s="32">
        <f t="shared" si="31"/>
        <v>-308.85176000000001</v>
      </c>
      <c r="S93" s="151">
        <f t="shared" si="31"/>
        <v>-46315.928030000003</v>
      </c>
      <c r="T93" s="151">
        <f t="shared" si="31"/>
        <v>-306122.12189000007</v>
      </c>
      <c r="U93" s="151">
        <f t="shared" si="31"/>
        <v>1677207.0392199997</v>
      </c>
      <c r="V93" s="28"/>
      <c r="W93" s="5"/>
      <c r="X93" s="5"/>
    </row>
    <row r="94" spans="1:24" x14ac:dyDescent="0.25">
      <c r="B94" s="33"/>
      <c r="C94" s="34"/>
      <c r="D94" s="34"/>
      <c r="E94" s="47"/>
      <c r="F94" s="47"/>
      <c r="G94" s="47"/>
      <c r="H94" s="34"/>
      <c r="I94" s="34"/>
      <c r="J94" s="34"/>
      <c r="K94" s="34"/>
      <c r="L94" s="34"/>
      <c r="M94" s="34"/>
      <c r="N94" s="47"/>
      <c r="O94" s="47"/>
      <c r="P94" s="34"/>
      <c r="Q94" s="34"/>
      <c r="R94" s="34"/>
      <c r="S94" s="47"/>
      <c r="T94" s="47"/>
      <c r="U94" s="47"/>
    </row>
    <row r="95" spans="1:24" x14ac:dyDescent="0.25">
      <c r="A95" s="180"/>
      <c r="B95" s="180"/>
      <c r="C95" s="180"/>
      <c r="D95" s="34"/>
      <c r="E95" s="152"/>
      <c r="F95" s="152"/>
      <c r="G95" s="47"/>
      <c r="H95" s="34"/>
      <c r="I95" s="34"/>
      <c r="J95" s="34"/>
      <c r="K95" s="34"/>
      <c r="L95" s="34"/>
      <c r="M95" s="34"/>
      <c r="N95" s="47"/>
      <c r="O95" s="47"/>
      <c r="P95" s="34"/>
      <c r="Q95" s="34"/>
      <c r="R95" s="34"/>
      <c r="S95" s="47"/>
      <c r="T95" s="47"/>
      <c r="U95" s="47"/>
    </row>
    <row r="97" spans="2:21" s="20" customFormat="1" x14ac:dyDescent="0.25">
      <c r="E97" s="153"/>
      <c r="F97" s="153"/>
      <c r="G97" s="153"/>
      <c r="H97" s="19"/>
      <c r="N97" s="153"/>
      <c r="O97" s="153"/>
      <c r="S97" s="153"/>
      <c r="T97" s="153"/>
      <c r="U97" s="153"/>
    </row>
    <row r="99" spans="2:21" s="20" customFormat="1" x14ac:dyDescent="0.25">
      <c r="B99" s="35"/>
      <c r="C99" s="19"/>
      <c r="D99" s="35"/>
      <c r="E99" s="115"/>
      <c r="F99" s="153"/>
      <c r="G99" s="115"/>
      <c r="H99" s="35"/>
      <c r="N99" s="153"/>
      <c r="O99" s="153"/>
      <c r="S99" s="153"/>
      <c r="T99" s="153"/>
      <c r="U99" s="153"/>
    </row>
    <row r="100" spans="2:21" s="20" customFormat="1" x14ac:dyDescent="0.25">
      <c r="B100" s="35"/>
      <c r="C100" s="19"/>
      <c r="D100" s="35"/>
      <c r="E100" s="115"/>
      <c r="F100" s="153"/>
      <c r="G100" s="115"/>
      <c r="H100" s="35"/>
      <c r="N100" s="153"/>
      <c r="O100" s="153"/>
      <c r="S100" s="153"/>
      <c r="T100" s="153"/>
      <c r="U100" s="153"/>
    </row>
    <row r="101" spans="2:21" s="20" customFormat="1" x14ac:dyDescent="0.25">
      <c r="B101" s="35"/>
      <c r="C101" s="19"/>
      <c r="D101" s="35"/>
      <c r="E101" s="115"/>
      <c r="F101" s="153"/>
      <c r="G101" s="115"/>
      <c r="H101" s="35"/>
      <c r="N101" s="153"/>
      <c r="O101" s="153"/>
      <c r="S101" s="153"/>
      <c r="T101" s="153"/>
      <c r="U101" s="153"/>
    </row>
    <row r="102" spans="2:21" s="20" customFormat="1" x14ac:dyDescent="0.25">
      <c r="B102" s="36" t="s">
        <v>1676</v>
      </c>
      <c r="C102" s="19"/>
      <c r="D102" s="181" t="s">
        <v>1581</v>
      </c>
      <c r="E102" s="181"/>
      <c r="F102" s="153"/>
      <c r="G102" s="181" t="s">
        <v>1582</v>
      </c>
      <c r="H102" s="181"/>
      <c r="N102" s="153"/>
      <c r="O102" s="153"/>
      <c r="S102" s="153"/>
      <c r="T102" s="153"/>
      <c r="U102" s="153"/>
    </row>
  </sheetData>
  <sheetProtection password="FC71" sheet="1" objects="1" scenarios="1"/>
  <protectedRanges>
    <protectedRange sqref="U11:U93" name="Rango4"/>
    <protectedRange sqref="A97:H99" name="Rango2"/>
    <protectedRange sqref="B9:T92" name="Rango1"/>
    <protectedRange sqref="A4:XFD4" name="Rango3"/>
  </protectedRanges>
  <mergeCells count="34">
    <mergeCell ref="P8:P9"/>
    <mergeCell ref="Q8:Q9"/>
    <mergeCell ref="R8:R9"/>
    <mergeCell ref="H8:H9"/>
    <mergeCell ref="I8:I9"/>
    <mergeCell ref="J8:J9"/>
    <mergeCell ref="K8:K9"/>
    <mergeCell ref="L8:L9"/>
    <mergeCell ref="A95:C95"/>
    <mergeCell ref="D102:E102"/>
    <mergeCell ref="G102:H102"/>
    <mergeCell ref="F8:F9"/>
    <mergeCell ref="G8:G9"/>
    <mergeCell ref="A55:B55"/>
    <mergeCell ref="A91:B91"/>
    <mergeCell ref="A93:B93"/>
    <mergeCell ref="D8:D9"/>
    <mergeCell ref="E8:E9"/>
    <mergeCell ref="A2:U2"/>
    <mergeCell ref="A3:U3"/>
    <mergeCell ref="A4:U4"/>
    <mergeCell ref="A5:U5"/>
    <mergeCell ref="A7:A9"/>
    <mergeCell ref="B7:B9"/>
    <mergeCell ref="C7:G7"/>
    <mergeCell ref="H7:N7"/>
    <mergeCell ref="O7:O9"/>
    <mergeCell ref="P7:T7"/>
    <mergeCell ref="U7:U9"/>
    <mergeCell ref="C8:C9"/>
    <mergeCell ref="S8:S9"/>
    <mergeCell ref="T8:T9"/>
    <mergeCell ref="M8:M9"/>
    <mergeCell ref="N8:N9"/>
  </mergeCells>
  <pageMargins left="0.31496062992125984" right="0.11811023622047245" top="0.35433070866141736" bottom="0.35433070866141736" header="0.31496062992125984" footer="0.31496062992125984"/>
  <pageSetup paperSize="5" scale="42"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AC62"/>
  <sheetViews>
    <sheetView showGridLines="0" zoomScaleNormal="100" zoomScaleSheetLayoutView="90" workbookViewId="0">
      <selection activeCell="A4" sqref="A4:AC4"/>
    </sheetView>
  </sheetViews>
  <sheetFormatPr baseColWidth="10" defaultColWidth="11.42578125" defaultRowHeight="16.5" x14ac:dyDescent="0.25"/>
  <cols>
    <col min="1" max="1" width="33" style="117" customWidth="1"/>
    <col min="2" max="29" width="15" style="117" customWidth="1"/>
    <col min="30" max="256" width="11.42578125" style="117"/>
    <col min="257" max="257" width="36.5703125" style="117" customWidth="1"/>
    <col min="258" max="258" width="35.85546875" style="117" customWidth="1"/>
    <col min="259" max="259" width="22" style="117" customWidth="1"/>
    <col min="260" max="512" width="11.42578125" style="117"/>
    <col min="513" max="513" width="36.5703125" style="117" customWidth="1"/>
    <col min="514" max="514" width="35.85546875" style="117" customWidth="1"/>
    <col min="515" max="515" width="22" style="117" customWidth="1"/>
    <col min="516" max="768" width="11.42578125" style="117"/>
    <col min="769" max="769" width="36.5703125" style="117" customWidth="1"/>
    <col min="770" max="770" width="35.85546875" style="117" customWidth="1"/>
    <col min="771" max="771" width="22" style="117" customWidth="1"/>
    <col min="772" max="1024" width="11.42578125" style="117"/>
    <col min="1025" max="1025" width="36.5703125" style="117" customWidth="1"/>
    <col min="1026" max="1026" width="35.85546875" style="117" customWidth="1"/>
    <col min="1027" max="1027" width="22" style="117" customWidth="1"/>
    <col min="1028" max="1280" width="11.42578125" style="117"/>
    <col min="1281" max="1281" width="36.5703125" style="117" customWidth="1"/>
    <col min="1282" max="1282" width="35.85546875" style="117" customWidth="1"/>
    <col min="1283" max="1283" width="22" style="117" customWidth="1"/>
    <col min="1284" max="1536" width="11.42578125" style="117"/>
    <col min="1537" max="1537" width="36.5703125" style="117" customWidth="1"/>
    <col min="1538" max="1538" width="35.85546875" style="117" customWidth="1"/>
    <col min="1539" max="1539" width="22" style="117" customWidth="1"/>
    <col min="1540" max="1792" width="11.42578125" style="117"/>
    <col min="1793" max="1793" width="36.5703125" style="117" customWidth="1"/>
    <col min="1794" max="1794" width="35.85546875" style="117" customWidth="1"/>
    <col min="1795" max="1795" width="22" style="117" customWidth="1"/>
    <col min="1796" max="2048" width="11.42578125" style="117"/>
    <col min="2049" max="2049" width="36.5703125" style="117" customWidth="1"/>
    <col min="2050" max="2050" width="35.85546875" style="117" customWidth="1"/>
    <col min="2051" max="2051" width="22" style="117" customWidth="1"/>
    <col min="2052" max="2304" width="11.42578125" style="117"/>
    <col min="2305" max="2305" width="36.5703125" style="117" customWidth="1"/>
    <col min="2306" max="2306" width="35.85546875" style="117" customWidth="1"/>
    <col min="2307" max="2307" width="22" style="117" customWidth="1"/>
    <col min="2308" max="2560" width="11.42578125" style="117"/>
    <col min="2561" max="2561" width="36.5703125" style="117" customWidth="1"/>
    <col min="2562" max="2562" width="35.85546875" style="117" customWidth="1"/>
    <col min="2563" max="2563" width="22" style="117" customWidth="1"/>
    <col min="2564" max="2816" width="11.42578125" style="117"/>
    <col min="2817" max="2817" width="36.5703125" style="117" customWidth="1"/>
    <col min="2818" max="2818" width="35.85546875" style="117" customWidth="1"/>
    <col min="2819" max="2819" width="22" style="117" customWidth="1"/>
    <col min="2820" max="3072" width="11.42578125" style="117"/>
    <col min="3073" max="3073" width="36.5703125" style="117" customWidth="1"/>
    <col min="3074" max="3074" width="35.85546875" style="117" customWidth="1"/>
    <col min="3075" max="3075" width="22" style="117" customWidth="1"/>
    <col min="3076" max="3328" width="11.42578125" style="117"/>
    <col min="3329" max="3329" width="36.5703125" style="117" customWidth="1"/>
    <col min="3330" max="3330" width="35.85546875" style="117" customWidth="1"/>
    <col min="3331" max="3331" width="22" style="117" customWidth="1"/>
    <col min="3332" max="3584" width="11.42578125" style="117"/>
    <col min="3585" max="3585" width="36.5703125" style="117" customWidth="1"/>
    <col min="3586" max="3586" width="35.85546875" style="117" customWidth="1"/>
    <col min="3587" max="3587" width="22" style="117" customWidth="1"/>
    <col min="3588" max="3840" width="11.42578125" style="117"/>
    <col min="3841" max="3841" width="36.5703125" style="117" customWidth="1"/>
    <col min="3842" max="3842" width="35.85546875" style="117" customWidth="1"/>
    <col min="3843" max="3843" width="22" style="117" customWidth="1"/>
    <col min="3844" max="4096" width="11.42578125" style="117"/>
    <col min="4097" max="4097" width="36.5703125" style="117" customWidth="1"/>
    <col min="4098" max="4098" width="35.85546875" style="117" customWidth="1"/>
    <col min="4099" max="4099" width="22" style="117" customWidth="1"/>
    <col min="4100" max="4352" width="11.42578125" style="117"/>
    <col min="4353" max="4353" width="36.5703125" style="117" customWidth="1"/>
    <col min="4354" max="4354" width="35.85546875" style="117" customWidth="1"/>
    <col min="4355" max="4355" width="22" style="117" customWidth="1"/>
    <col min="4356" max="4608" width="11.42578125" style="117"/>
    <col min="4609" max="4609" width="36.5703125" style="117" customWidth="1"/>
    <col min="4610" max="4610" width="35.85546875" style="117" customWidth="1"/>
    <col min="4611" max="4611" width="22" style="117" customWidth="1"/>
    <col min="4612" max="4864" width="11.42578125" style="117"/>
    <col min="4865" max="4865" width="36.5703125" style="117" customWidth="1"/>
    <col min="4866" max="4866" width="35.85546875" style="117" customWidth="1"/>
    <col min="4867" max="4867" width="22" style="117" customWidth="1"/>
    <col min="4868" max="5120" width="11.42578125" style="117"/>
    <col min="5121" max="5121" width="36.5703125" style="117" customWidth="1"/>
    <col min="5122" max="5122" width="35.85546875" style="117" customWidth="1"/>
    <col min="5123" max="5123" width="22" style="117" customWidth="1"/>
    <col min="5124" max="5376" width="11.42578125" style="117"/>
    <col min="5377" max="5377" width="36.5703125" style="117" customWidth="1"/>
    <col min="5378" max="5378" width="35.85546875" style="117" customWidth="1"/>
    <col min="5379" max="5379" width="22" style="117" customWidth="1"/>
    <col min="5380" max="5632" width="11.42578125" style="117"/>
    <col min="5633" max="5633" width="36.5703125" style="117" customWidth="1"/>
    <col min="5634" max="5634" width="35.85546875" style="117" customWidth="1"/>
    <col min="5635" max="5635" width="22" style="117" customWidth="1"/>
    <col min="5636" max="5888" width="11.42578125" style="117"/>
    <col min="5889" max="5889" width="36.5703125" style="117" customWidth="1"/>
    <col min="5890" max="5890" width="35.85546875" style="117" customWidth="1"/>
    <col min="5891" max="5891" width="22" style="117" customWidth="1"/>
    <col min="5892" max="6144" width="11.42578125" style="117"/>
    <col min="6145" max="6145" width="36.5703125" style="117" customWidth="1"/>
    <col min="6146" max="6146" width="35.85546875" style="117" customWidth="1"/>
    <col min="6147" max="6147" width="22" style="117" customWidth="1"/>
    <col min="6148" max="6400" width="11.42578125" style="117"/>
    <col min="6401" max="6401" width="36.5703125" style="117" customWidth="1"/>
    <col min="6402" max="6402" width="35.85546875" style="117" customWidth="1"/>
    <col min="6403" max="6403" width="22" style="117" customWidth="1"/>
    <col min="6404" max="6656" width="11.42578125" style="117"/>
    <col min="6657" max="6657" width="36.5703125" style="117" customWidth="1"/>
    <col min="6658" max="6658" width="35.85546875" style="117" customWidth="1"/>
    <col min="6659" max="6659" width="22" style="117" customWidth="1"/>
    <col min="6660" max="6912" width="11.42578125" style="117"/>
    <col min="6913" max="6913" width="36.5703125" style="117" customWidth="1"/>
    <col min="6914" max="6914" width="35.85546875" style="117" customWidth="1"/>
    <col min="6915" max="6915" width="22" style="117" customWidth="1"/>
    <col min="6916" max="7168" width="11.42578125" style="117"/>
    <col min="7169" max="7169" width="36.5703125" style="117" customWidth="1"/>
    <col min="7170" max="7170" width="35.85546875" style="117" customWidth="1"/>
    <col min="7171" max="7171" width="22" style="117" customWidth="1"/>
    <col min="7172" max="7424" width="11.42578125" style="117"/>
    <col min="7425" max="7425" width="36.5703125" style="117" customWidth="1"/>
    <col min="7426" max="7426" width="35.85546875" style="117" customWidth="1"/>
    <col min="7427" max="7427" width="22" style="117" customWidth="1"/>
    <col min="7428" max="7680" width="11.42578125" style="117"/>
    <col min="7681" max="7681" width="36.5703125" style="117" customWidth="1"/>
    <col min="7682" max="7682" width="35.85546875" style="117" customWidth="1"/>
    <col min="7683" max="7683" width="22" style="117" customWidth="1"/>
    <col min="7684" max="7936" width="11.42578125" style="117"/>
    <col min="7937" max="7937" width="36.5703125" style="117" customWidth="1"/>
    <col min="7938" max="7938" width="35.85546875" style="117" customWidth="1"/>
    <col min="7939" max="7939" width="22" style="117" customWidth="1"/>
    <col min="7940" max="8192" width="11.42578125" style="117"/>
    <col min="8193" max="8193" width="36.5703125" style="117" customWidth="1"/>
    <col min="8194" max="8194" width="35.85546875" style="117" customWidth="1"/>
    <col min="8195" max="8195" width="22" style="117" customWidth="1"/>
    <col min="8196" max="8448" width="11.42578125" style="117"/>
    <col min="8449" max="8449" width="36.5703125" style="117" customWidth="1"/>
    <col min="8450" max="8450" width="35.85546875" style="117" customWidth="1"/>
    <col min="8451" max="8451" width="22" style="117" customWidth="1"/>
    <col min="8452" max="8704" width="11.42578125" style="117"/>
    <col min="8705" max="8705" width="36.5703125" style="117" customWidth="1"/>
    <col min="8706" max="8706" width="35.85546875" style="117" customWidth="1"/>
    <col min="8707" max="8707" width="22" style="117" customWidth="1"/>
    <col min="8708" max="8960" width="11.42578125" style="117"/>
    <col min="8961" max="8961" width="36.5703125" style="117" customWidth="1"/>
    <col min="8962" max="8962" width="35.85546875" style="117" customWidth="1"/>
    <col min="8963" max="8963" width="22" style="117" customWidth="1"/>
    <col min="8964" max="9216" width="11.42578125" style="117"/>
    <col min="9217" max="9217" width="36.5703125" style="117" customWidth="1"/>
    <col min="9218" max="9218" width="35.85546875" style="117" customWidth="1"/>
    <col min="9219" max="9219" width="22" style="117" customWidth="1"/>
    <col min="9220" max="9472" width="11.42578125" style="117"/>
    <col min="9473" max="9473" width="36.5703125" style="117" customWidth="1"/>
    <col min="9474" max="9474" width="35.85546875" style="117" customWidth="1"/>
    <col min="9475" max="9475" width="22" style="117" customWidth="1"/>
    <col min="9476" max="9728" width="11.42578125" style="117"/>
    <col min="9729" max="9729" width="36.5703125" style="117" customWidth="1"/>
    <col min="9730" max="9730" width="35.85546875" style="117" customWidth="1"/>
    <col min="9731" max="9731" width="22" style="117" customWidth="1"/>
    <col min="9732" max="9984" width="11.42578125" style="117"/>
    <col min="9985" max="9985" width="36.5703125" style="117" customWidth="1"/>
    <col min="9986" max="9986" width="35.85546875" style="117" customWidth="1"/>
    <col min="9987" max="9987" width="22" style="117" customWidth="1"/>
    <col min="9988" max="10240" width="11.42578125" style="117"/>
    <col min="10241" max="10241" width="36.5703125" style="117" customWidth="1"/>
    <col min="10242" max="10242" width="35.85546875" style="117" customWidth="1"/>
    <col min="10243" max="10243" width="22" style="117" customWidth="1"/>
    <col min="10244" max="10496" width="11.42578125" style="117"/>
    <col min="10497" max="10497" width="36.5703125" style="117" customWidth="1"/>
    <col min="10498" max="10498" width="35.85546875" style="117" customWidth="1"/>
    <col min="10499" max="10499" width="22" style="117" customWidth="1"/>
    <col min="10500" max="10752" width="11.42578125" style="117"/>
    <col min="10753" max="10753" width="36.5703125" style="117" customWidth="1"/>
    <col min="10754" max="10754" width="35.85546875" style="117" customWidth="1"/>
    <col min="10755" max="10755" width="22" style="117" customWidth="1"/>
    <col min="10756" max="11008" width="11.42578125" style="117"/>
    <col min="11009" max="11009" width="36.5703125" style="117" customWidth="1"/>
    <col min="11010" max="11010" width="35.85546875" style="117" customWidth="1"/>
    <col min="11011" max="11011" width="22" style="117" customWidth="1"/>
    <col min="11012" max="11264" width="11.42578125" style="117"/>
    <col min="11265" max="11265" width="36.5703125" style="117" customWidth="1"/>
    <col min="11266" max="11266" width="35.85546875" style="117" customWidth="1"/>
    <col min="11267" max="11267" width="22" style="117" customWidth="1"/>
    <col min="11268" max="11520" width="11.42578125" style="117"/>
    <col min="11521" max="11521" width="36.5703125" style="117" customWidth="1"/>
    <col min="11522" max="11522" width="35.85546875" style="117" customWidth="1"/>
    <col min="11523" max="11523" width="22" style="117" customWidth="1"/>
    <col min="11524" max="11776" width="11.42578125" style="117"/>
    <col min="11777" max="11777" width="36.5703125" style="117" customWidth="1"/>
    <col min="11778" max="11778" width="35.85546875" style="117" customWidth="1"/>
    <col min="11779" max="11779" width="22" style="117" customWidth="1"/>
    <col min="11780" max="12032" width="11.42578125" style="117"/>
    <col min="12033" max="12033" width="36.5703125" style="117" customWidth="1"/>
    <col min="12034" max="12034" width="35.85546875" style="117" customWidth="1"/>
    <col min="12035" max="12035" width="22" style="117" customWidth="1"/>
    <col min="12036" max="12288" width="11.42578125" style="117"/>
    <col min="12289" max="12289" width="36.5703125" style="117" customWidth="1"/>
    <col min="12290" max="12290" width="35.85546875" style="117" customWidth="1"/>
    <col min="12291" max="12291" width="22" style="117" customWidth="1"/>
    <col min="12292" max="12544" width="11.42578125" style="117"/>
    <col min="12545" max="12545" width="36.5703125" style="117" customWidth="1"/>
    <col min="12546" max="12546" width="35.85546875" style="117" customWidth="1"/>
    <col min="12547" max="12547" width="22" style="117" customWidth="1"/>
    <col min="12548" max="12800" width="11.42578125" style="117"/>
    <col min="12801" max="12801" width="36.5703125" style="117" customWidth="1"/>
    <col min="12802" max="12802" width="35.85546875" style="117" customWidth="1"/>
    <col min="12803" max="12803" width="22" style="117" customWidth="1"/>
    <col min="12804" max="13056" width="11.42578125" style="117"/>
    <col min="13057" max="13057" width="36.5703125" style="117" customWidth="1"/>
    <col min="13058" max="13058" width="35.85546875" style="117" customWidth="1"/>
    <col min="13059" max="13059" width="22" style="117" customWidth="1"/>
    <col min="13060" max="13312" width="11.42578125" style="117"/>
    <col min="13313" max="13313" width="36.5703125" style="117" customWidth="1"/>
    <col min="13314" max="13314" width="35.85546875" style="117" customWidth="1"/>
    <col min="13315" max="13315" width="22" style="117" customWidth="1"/>
    <col min="13316" max="13568" width="11.42578125" style="117"/>
    <col min="13569" max="13569" width="36.5703125" style="117" customWidth="1"/>
    <col min="13570" max="13570" width="35.85546875" style="117" customWidth="1"/>
    <col min="13571" max="13571" width="22" style="117" customWidth="1"/>
    <col min="13572" max="13824" width="11.42578125" style="117"/>
    <col min="13825" max="13825" width="36.5703125" style="117" customWidth="1"/>
    <col min="13826" max="13826" width="35.85546875" style="117" customWidth="1"/>
    <col min="13827" max="13827" width="22" style="117" customWidth="1"/>
    <col min="13828" max="14080" width="11.42578125" style="117"/>
    <col min="14081" max="14081" width="36.5703125" style="117" customWidth="1"/>
    <col min="14082" max="14082" width="35.85546875" style="117" customWidth="1"/>
    <col min="14083" max="14083" width="22" style="117" customWidth="1"/>
    <col min="14084" max="14336" width="11.42578125" style="117"/>
    <col min="14337" max="14337" width="36.5703125" style="117" customWidth="1"/>
    <col min="14338" max="14338" width="35.85546875" style="117" customWidth="1"/>
    <col min="14339" max="14339" width="22" style="117" customWidth="1"/>
    <col min="14340" max="14592" width="11.42578125" style="117"/>
    <col min="14593" max="14593" width="36.5703125" style="117" customWidth="1"/>
    <col min="14594" max="14594" width="35.85546875" style="117" customWidth="1"/>
    <col min="14595" max="14595" width="22" style="117" customWidth="1"/>
    <col min="14596" max="14848" width="11.42578125" style="117"/>
    <col min="14849" max="14849" width="36.5703125" style="117" customWidth="1"/>
    <col min="14850" max="14850" width="35.85546875" style="117" customWidth="1"/>
    <col min="14851" max="14851" width="22" style="117" customWidth="1"/>
    <col min="14852" max="15104" width="11.42578125" style="117"/>
    <col min="15105" max="15105" width="36.5703125" style="117" customWidth="1"/>
    <col min="15106" max="15106" width="35.85546875" style="117" customWidth="1"/>
    <col min="15107" max="15107" width="22" style="117" customWidth="1"/>
    <col min="15108" max="15360" width="11.42578125" style="117"/>
    <col min="15361" max="15361" width="36.5703125" style="117" customWidth="1"/>
    <col min="15362" max="15362" width="35.85546875" style="117" customWidth="1"/>
    <col min="15363" max="15363" width="22" style="117" customWidth="1"/>
    <col min="15364" max="15616" width="11.42578125" style="117"/>
    <col min="15617" max="15617" width="36.5703125" style="117" customWidth="1"/>
    <col min="15618" max="15618" width="35.85546875" style="117" customWidth="1"/>
    <col min="15619" max="15619" width="22" style="117" customWidth="1"/>
    <col min="15620" max="15872" width="11.42578125" style="117"/>
    <col min="15873" max="15873" width="36.5703125" style="117" customWidth="1"/>
    <col min="15874" max="15874" width="35.85546875" style="117" customWidth="1"/>
    <col min="15875" max="15875" width="22" style="117" customWidth="1"/>
    <col min="15876" max="16128" width="11.42578125" style="117"/>
    <col min="16129" max="16129" width="36.5703125" style="117" customWidth="1"/>
    <col min="16130" max="16130" width="35.85546875" style="117" customWidth="1"/>
    <col min="16131" max="16131" width="22" style="117" customWidth="1"/>
    <col min="16132" max="16384" width="11.42578125" style="117"/>
  </cols>
  <sheetData>
    <row r="1" spans="1:29" ht="9.75" customHeight="1" x14ac:dyDescent="0.25"/>
    <row r="2" spans="1:29" s="132" customFormat="1" ht="15.75" x14ac:dyDescent="0.25">
      <c r="A2" s="165" t="str">
        <f ca="1">Data!N1</f>
        <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row>
    <row r="3" spans="1:29" s="132" customFormat="1" ht="15.75" x14ac:dyDescent="0.25">
      <c r="A3" s="194" t="s">
        <v>914</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132" customFormat="1" ht="15.75" x14ac:dyDescent="0.25">
      <c r="A4" s="165" t="str">
        <f ca="1">"Al " &amp; IF(Data!D2=Data!F1,Data!G1,
IF(Data!D2=Data!F2,Data!G2,
IF(Data!D2=Data!F3,Data!G3,
IF(Data!D2=Data!F4,Data!G4,
IF(Data!D2=Data!F5,Data!G5,
IF(Data!D2=Data!F6,Data!G6,
IF(Data!D2=Data!F7,Data!G7,
IF(Data!D2=Data!F8,Data!G8,
IF(Data!D2=Data!F9,Data!G9,
IF(Data!D2=Data!F10,Data!G10,
IF(Data!D2=Data!F11,Data!G11,
IF(Data!D2=Data!F12,Data!G12,
IF(Data!D2=Data!F13,Data!G13,
IF(Data!D2=Data!F14,Data!G14,
IF(Data!D2=Data!F15,Data!G15,
IF(Data!D2=Data!F16,Data!G16,0)))))))))))))))) &amp; " de " &amp; Data!C2</f>
        <v>Al 0 de ados</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row>
    <row r="5" spans="1:29" s="131" customFormat="1" ht="18" customHeight="1" x14ac:dyDescent="0.25">
      <c r="A5" s="195" t="s">
        <v>1584</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row>
    <row r="6" spans="1:29" s="9" customFormat="1" ht="37.5" customHeight="1" x14ac:dyDescent="0.25">
      <c r="A6" s="114" t="s">
        <v>916</v>
      </c>
      <c r="B6" s="192" t="s">
        <v>917</v>
      </c>
      <c r="C6" s="192"/>
      <c r="D6" s="192" t="s">
        <v>918</v>
      </c>
      <c r="E6" s="192"/>
      <c r="F6" s="192" t="s">
        <v>919</v>
      </c>
      <c r="G6" s="192"/>
      <c r="H6" s="192" t="s">
        <v>920</v>
      </c>
      <c r="I6" s="192"/>
      <c r="J6" s="192" t="s">
        <v>921</v>
      </c>
      <c r="K6" s="192"/>
      <c r="L6" s="192" t="s">
        <v>922</v>
      </c>
      <c r="M6" s="192"/>
      <c r="N6" s="192" t="s">
        <v>923</v>
      </c>
      <c r="O6" s="192"/>
      <c r="P6" s="192" t="s">
        <v>924</v>
      </c>
      <c r="Q6" s="192"/>
      <c r="R6" s="192" t="s">
        <v>925</v>
      </c>
      <c r="S6" s="192"/>
      <c r="T6" s="192" t="s">
        <v>926</v>
      </c>
      <c r="U6" s="192"/>
      <c r="V6" s="192" t="s">
        <v>927</v>
      </c>
      <c r="W6" s="192"/>
      <c r="X6" s="192" t="s">
        <v>928</v>
      </c>
      <c r="Y6" s="192"/>
      <c r="Z6" s="192" t="s">
        <v>1679</v>
      </c>
      <c r="AA6" s="192"/>
      <c r="AB6" s="192" t="s">
        <v>1680</v>
      </c>
      <c r="AC6" s="196"/>
    </row>
    <row r="7" spans="1:29" s="118" customFormat="1" ht="23.25" customHeight="1" x14ac:dyDescent="0.25">
      <c r="A7" s="133" t="s">
        <v>1681</v>
      </c>
      <c r="B7" s="127" t="str">
        <f ca="1">Data!C2</f>
        <v>ados</v>
      </c>
      <c r="C7" s="128" t="e">
        <f ca="1">Data!C2-1</f>
        <v>#VALUE!</v>
      </c>
      <c r="D7" s="129" t="str">
        <f ca="1">Data!C2</f>
        <v>ados</v>
      </c>
      <c r="E7" s="128" t="e">
        <f ca="1">Data!C2-1</f>
        <v>#VALUE!</v>
      </c>
      <c r="F7" s="129" t="str">
        <f ca="1">Data!C2</f>
        <v>ados</v>
      </c>
      <c r="G7" s="128" t="e">
        <f ca="1">Data!C2-1</f>
        <v>#VALUE!</v>
      </c>
      <c r="H7" s="129" t="str">
        <f ca="1">Data!C2</f>
        <v>ados</v>
      </c>
      <c r="I7" s="128" t="e">
        <f ca="1">Data!C2-1</f>
        <v>#VALUE!</v>
      </c>
      <c r="J7" s="129" t="str">
        <f ca="1">Data!C2</f>
        <v>ados</v>
      </c>
      <c r="K7" s="128" t="e">
        <f ca="1">Data!C2-1</f>
        <v>#VALUE!</v>
      </c>
      <c r="L7" s="129" t="str">
        <f ca="1">Data!C2</f>
        <v>ados</v>
      </c>
      <c r="M7" s="128" t="e">
        <f ca="1">Data!C2-1</f>
        <v>#VALUE!</v>
      </c>
      <c r="N7" s="129" t="str">
        <f ca="1">Data!C2</f>
        <v>ados</v>
      </c>
      <c r="O7" s="128" t="e">
        <f ca="1">Data!C2-1</f>
        <v>#VALUE!</v>
      </c>
      <c r="P7" s="129" t="str">
        <f ca="1">Data!C2</f>
        <v>ados</v>
      </c>
      <c r="Q7" s="128" t="e">
        <f ca="1">Data!C2-1</f>
        <v>#VALUE!</v>
      </c>
      <c r="R7" s="129" t="str">
        <f ca="1">Data!C2</f>
        <v>ados</v>
      </c>
      <c r="S7" s="128" t="e">
        <f ca="1">Data!C2-1</f>
        <v>#VALUE!</v>
      </c>
      <c r="T7" s="129" t="str">
        <f ca="1">Data!C2</f>
        <v>ados</v>
      </c>
      <c r="U7" s="128" t="e">
        <f ca="1">Data!C2-1</f>
        <v>#VALUE!</v>
      </c>
      <c r="V7" s="129" t="str">
        <f ca="1">Data!C2</f>
        <v>ados</v>
      </c>
      <c r="W7" s="128" t="e">
        <f ca="1">Data!C2-1</f>
        <v>#VALUE!</v>
      </c>
      <c r="X7" s="129" t="str">
        <f ca="1">Data!C2</f>
        <v>ados</v>
      </c>
      <c r="Y7" s="128" t="e">
        <f ca="1">Data!C2-1</f>
        <v>#VALUE!</v>
      </c>
      <c r="Z7" s="129" t="str">
        <f ca="1">Data!C2</f>
        <v>ados</v>
      </c>
      <c r="AA7" s="128" t="e">
        <f ca="1">Data!C2-1</f>
        <v>#VALUE!</v>
      </c>
      <c r="AB7" s="129" t="str">
        <f ca="1">Data!C2</f>
        <v>ados</v>
      </c>
      <c r="AC7" s="130" t="e">
        <f ca="1">Data!C2-1</f>
        <v>#VALUE!</v>
      </c>
    </row>
    <row r="8" spans="1:29" ht="23.25" customHeight="1" x14ac:dyDescent="0.25">
      <c r="A8" s="134" t="s">
        <v>931</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row>
    <row r="9" spans="1:29" ht="33" customHeight="1" x14ac:dyDescent="0.25">
      <c r="A9" s="119" t="s">
        <v>932</v>
      </c>
      <c r="B9" s="126"/>
      <c r="C9" s="120"/>
      <c r="D9" s="120"/>
      <c r="E9" s="120"/>
      <c r="F9" s="120"/>
      <c r="G9" s="120"/>
      <c r="H9" s="120"/>
      <c r="I9" s="120"/>
      <c r="J9" s="120"/>
      <c r="K9" s="120"/>
      <c r="L9" s="120"/>
      <c r="M9" s="120"/>
      <c r="N9" s="120"/>
      <c r="O9" s="120"/>
      <c r="P9" s="120"/>
      <c r="Q9" s="120"/>
      <c r="R9" s="120"/>
      <c r="S9" s="120"/>
      <c r="T9" s="120"/>
      <c r="U9" s="120"/>
      <c r="V9" s="120"/>
      <c r="W9" s="120"/>
      <c r="X9" s="120"/>
      <c r="Y9" s="120"/>
      <c r="Z9" s="121"/>
      <c r="AA9" s="121" t="s">
        <v>1585</v>
      </c>
      <c r="AB9" s="121" t="s">
        <v>1585</v>
      </c>
      <c r="AC9" s="121" t="s">
        <v>1585</v>
      </c>
    </row>
    <row r="10" spans="1:29" ht="33" customHeight="1" x14ac:dyDescent="0.25">
      <c r="A10" s="119" t="s">
        <v>933</v>
      </c>
      <c r="B10" s="126"/>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t="s">
        <v>1585</v>
      </c>
      <c r="AA10" s="121" t="s">
        <v>1585</v>
      </c>
      <c r="AB10" s="121" t="s">
        <v>1585</v>
      </c>
      <c r="AC10" s="121" t="s">
        <v>1585</v>
      </c>
    </row>
    <row r="11" spans="1:29" ht="33" customHeight="1" x14ac:dyDescent="0.25">
      <c r="A11" s="122" t="s">
        <v>934</v>
      </c>
      <c r="B11" s="126"/>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t="s">
        <v>1585</v>
      </c>
      <c r="AA11" s="121" t="s">
        <v>1585</v>
      </c>
      <c r="AB11" s="121" t="s">
        <v>1585</v>
      </c>
      <c r="AC11" s="121" t="s">
        <v>1585</v>
      </c>
    </row>
    <row r="12" spans="1:29" ht="21" customHeight="1" x14ac:dyDescent="0.25">
      <c r="A12" s="135" t="s">
        <v>1685</v>
      </c>
      <c r="B12" s="136" t="s">
        <v>1585</v>
      </c>
      <c r="C12" s="136" t="s">
        <v>1585</v>
      </c>
      <c r="D12" s="136" t="s">
        <v>1585</v>
      </c>
      <c r="E12" s="136" t="s">
        <v>1585</v>
      </c>
      <c r="F12" s="136" t="s">
        <v>1585</v>
      </c>
      <c r="G12" s="136" t="s">
        <v>1585</v>
      </c>
      <c r="H12" s="136" t="s">
        <v>1585</v>
      </c>
      <c r="I12" s="136" t="s">
        <v>1585</v>
      </c>
      <c r="J12" s="136" t="s">
        <v>1585</v>
      </c>
      <c r="K12" s="136" t="s">
        <v>1585</v>
      </c>
      <c r="L12" s="136" t="s">
        <v>1585</v>
      </c>
      <c r="M12" s="136" t="s">
        <v>1585</v>
      </c>
      <c r="N12" s="136" t="s">
        <v>1585</v>
      </c>
      <c r="O12" s="136" t="s">
        <v>1585</v>
      </c>
      <c r="P12" s="136" t="s">
        <v>1585</v>
      </c>
      <c r="Q12" s="136" t="s">
        <v>1585</v>
      </c>
      <c r="R12" s="136" t="s">
        <v>1585</v>
      </c>
      <c r="S12" s="136" t="s">
        <v>1585</v>
      </c>
      <c r="T12" s="136" t="s">
        <v>1585</v>
      </c>
      <c r="U12" s="136" t="s">
        <v>1585</v>
      </c>
      <c r="V12" s="136" t="s">
        <v>1585</v>
      </c>
      <c r="W12" s="136" t="s">
        <v>1585</v>
      </c>
      <c r="X12" s="136" t="s">
        <v>1585</v>
      </c>
      <c r="Y12" s="136" t="s">
        <v>1585</v>
      </c>
      <c r="Z12" s="136" t="s">
        <v>1585</v>
      </c>
      <c r="AA12" s="136" t="s">
        <v>1585</v>
      </c>
      <c r="AB12" s="136" t="s">
        <v>1585</v>
      </c>
      <c r="AC12" s="136" t="s">
        <v>1585</v>
      </c>
    </row>
    <row r="13" spans="1:29" ht="21" customHeight="1" x14ac:dyDescent="0.25">
      <c r="A13" s="134" t="s">
        <v>935</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row>
    <row r="14" spans="1:29" ht="33" customHeight="1" x14ac:dyDescent="0.25">
      <c r="A14" s="119" t="s">
        <v>936</v>
      </c>
      <c r="B14" s="126"/>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1" t="s">
        <v>937</v>
      </c>
      <c r="AA14" s="121" t="s">
        <v>937</v>
      </c>
      <c r="AB14" s="121" t="s">
        <v>937</v>
      </c>
      <c r="AC14" s="121" t="s">
        <v>937</v>
      </c>
    </row>
    <row r="15" spans="1:29" ht="33" customHeight="1" x14ac:dyDescent="0.25">
      <c r="A15" s="119" t="s">
        <v>933</v>
      </c>
      <c r="B15" s="126"/>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t="s">
        <v>937</v>
      </c>
      <c r="AA15" s="121" t="s">
        <v>937</v>
      </c>
      <c r="AB15" s="121" t="s">
        <v>937</v>
      </c>
      <c r="AC15" s="121" t="s">
        <v>937</v>
      </c>
    </row>
    <row r="16" spans="1:29" ht="33" customHeight="1" x14ac:dyDescent="0.25">
      <c r="A16" s="122" t="s">
        <v>938</v>
      </c>
      <c r="B16" s="126"/>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t="s">
        <v>937</v>
      </c>
      <c r="AA16" s="121" t="s">
        <v>937</v>
      </c>
      <c r="AB16" s="121" t="s">
        <v>937</v>
      </c>
      <c r="AC16" s="121" t="s">
        <v>937</v>
      </c>
    </row>
    <row r="17" spans="1:29" ht="21" customHeight="1" x14ac:dyDescent="0.25">
      <c r="A17" s="135" t="s">
        <v>1686</v>
      </c>
      <c r="B17" s="136" t="s">
        <v>937</v>
      </c>
      <c r="C17" s="136" t="s">
        <v>937</v>
      </c>
      <c r="D17" s="136" t="s">
        <v>937</v>
      </c>
      <c r="E17" s="136" t="s">
        <v>937</v>
      </c>
      <c r="F17" s="136" t="s">
        <v>937</v>
      </c>
      <c r="G17" s="136" t="s">
        <v>937</v>
      </c>
      <c r="H17" s="136" t="s">
        <v>937</v>
      </c>
      <c r="I17" s="136" t="s">
        <v>937</v>
      </c>
      <c r="J17" s="136" t="s">
        <v>937</v>
      </c>
      <c r="K17" s="136" t="s">
        <v>937</v>
      </c>
      <c r="L17" s="136" t="s">
        <v>937</v>
      </c>
      <c r="M17" s="136" t="s">
        <v>937</v>
      </c>
      <c r="N17" s="136" t="s">
        <v>937</v>
      </c>
      <c r="O17" s="136" t="s">
        <v>937</v>
      </c>
      <c r="P17" s="136" t="s">
        <v>937</v>
      </c>
      <c r="Q17" s="136" t="s">
        <v>937</v>
      </c>
      <c r="R17" s="136" t="s">
        <v>937</v>
      </c>
      <c r="S17" s="136" t="s">
        <v>937</v>
      </c>
      <c r="T17" s="136" t="s">
        <v>937</v>
      </c>
      <c r="U17" s="136" t="s">
        <v>937</v>
      </c>
      <c r="V17" s="136" t="s">
        <v>937</v>
      </c>
      <c r="W17" s="136" t="s">
        <v>937</v>
      </c>
      <c r="X17" s="136" t="s">
        <v>937</v>
      </c>
      <c r="Y17" s="136" t="s">
        <v>937</v>
      </c>
      <c r="Z17" s="136" t="s">
        <v>937</v>
      </c>
      <c r="AA17" s="136" t="s">
        <v>937</v>
      </c>
      <c r="AB17" s="136" t="s">
        <v>937</v>
      </c>
      <c r="AC17" s="136" t="s">
        <v>937</v>
      </c>
    </row>
    <row r="18" spans="1:29" ht="33" x14ac:dyDescent="0.25">
      <c r="A18" s="137" t="s">
        <v>1682</v>
      </c>
      <c r="B18" s="138" t="s">
        <v>1585</v>
      </c>
      <c r="C18" s="138" t="s">
        <v>1585</v>
      </c>
      <c r="D18" s="138" t="s">
        <v>1585</v>
      </c>
      <c r="E18" s="138" t="s">
        <v>1585</v>
      </c>
      <c r="F18" s="138" t="s">
        <v>1585</v>
      </c>
      <c r="G18" s="138" t="s">
        <v>1585</v>
      </c>
      <c r="H18" s="138" t="s">
        <v>1585</v>
      </c>
      <c r="I18" s="138" t="s">
        <v>1585</v>
      </c>
      <c r="J18" s="138" t="s">
        <v>1585</v>
      </c>
      <c r="K18" s="138" t="s">
        <v>1585</v>
      </c>
      <c r="L18" s="138" t="s">
        <v>1585</v>
      </c>
      <c r="M18" s="138" t="s">
        <v>1585</v>
      </c>
      <c r="N18" s="138" t="s">
        <v>1585</v>
      </c>
      <c r="O18" s="138" t="s">
        <v>1585</v>
      </c>
      <c r="P18" s="138" t="s">
        <v>1585</v>
      </c>
      <c r="Q18" s="138" t="s">
        <v>1585</v>
      </c>
      <c r="R18" s="138" t="s">
        <v>1585</v>
      </c>
      <c r="S18" s="138" t="s">
        <v>1585</v>
      </c>
      <c r="T18" s="138" t="s">
        <v>1585</v>
      </c>
      <c r="U18" s="138" t="s">
        <v>1585</v>
      </c>
      <c r="V18" s="138" t="s">
        <v>1585</v>
      </c>
      <c r="W18" s="138" t="s">
        <v>1585</v>
      </c>
      <c r="X18" s="138" t="s">
        <v>1585</v>
      </c>
      <c r="Y18" s="138" t="s">
        <v>1585</v>
      </c>
      <c r="Z18" s="138" t="s">
        <v>1585</v>
      </c>
      <c r="AA18" s="138" t="s">
        <v>1585</v>
      </c>
      <c r="AB18" s="138" t="s">
        <v>1585</v>
      </c>
      <c r="AC18" s="138" t="s">
        <v>1585</v>
      </c>
    </row>
    <row r="19" spans="1:29" ht="33" customHeight="1" x14ac:dyDescent="0.25">
      <c r="A19" s="119" t="s">
        <v>939</v>
      </c>
      <c r="B19" s="126"/>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1" t="s">
        <v>937</v>
      </c>
      <c r="AA19" s="121" t="s">
        <v>937</v>
      </c>
      <c r="AB19" s="121" t="s">
        <v>937</v>
      </c>
      <c r="AC19" s="121" t="s">
        <v>937</v>
      </c>
    </row>
    <row r="20" spans="1:29" ht="33" customHeight="1" x14ac:dyDescent="0.25">
      <c r="A20" s="119" t="s">
        <v>1678</v>
      </c>
      <c r="B20" s="126"/>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t="s">
        <v>1585</v>
      </c>
      <c r="AA20" s="121" t="s">
        <v>1585</v>
      </c>
      <c r="AB20" s="121" t="s">
        <v>1585</v>
      </c>
      <c r="AC20" s="121" t="s">
        <v>1585</v>
      </c>
    </row>
    <row r="21" spans="1:29" ht="33" customHeight="1" x14ac:dyDescent="0.25">
      <c r="A21" s="122" t="s">
        <v>940</v>
      </c>
      <c r="B21" s="126"/>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t="s">
        <v>1585</v>
      </c>
      <c r="AA21" s="121" t="s">
        <v>1585</v>
      </c>
      <c r="AB21" s="121" t="s">
        <v>1585</v>
      </c>
      <c r="AC21" s="121" t="s">
        <v>1585</v>
      </c>
    </row>
    <row r="22" spans="1:29" ht="27.75" customHeight="1" x14ac:dyDescent="0.25">
      <c r="A22" s="143" t="s">
        <v>1684</v>
      </c>
      <c r="B22" s="139" t="s">
        <v>1585</v>
      </c>
      <c r="C22" s="139" t="s">
        <v>1585</v>
      </c>
      <c r="D22" s="139" t="s">
        <v>1585</v>
      </c>
      <c r="E22" s="139" t="s">
        <v>1585</v>
      </c>
      <c r="F22" s="139" t="s">
        <v>1585</v>
      </c>
      <c r="G22" s="139" t="s">
        <v>1585</v>
      </c>
      <c r="H22" s="139" t="s">
        <v>1585</v>
      </c>
      <c r="I22" s="139" t="s">
        <v>1585</v>
      </c>
      <c r="J22" s="139" t="s">
        <v>1585</v>
      </c>
      <c r="K22" s="139" t="s">
        <v>1585</v>
      </c>
      <c r="L22" s="139" t="s">
        <v>1585</v>
      </c>
      <c r="M22" s="139" t="s">
        <v>1585</v>
      </c>
      <c r="N22" s="139" t="s">
        <v>1585</v>
      </c>
      <c r="O22" s="139" t="s">
        <v>1585</v>
      </c>
      <c r="P22" s="139" t="s">
        <v>1585</v>
      </c>
      <c r="Q22" s="139" t="s">
        <v>1585</v>
      </c>
      <c r="R22" s="139" t="s">
        <v>1585</v>
      </c>
      <c r="S22" s="139" t="s">
        <v>1585</v>
      </c>
      <c r="T22" s="139" t="s">
        <v>1585</v>
      </c>
      <c r="U22" s="139" t="s">
        <v>1585</v>
      </c>
      <c r="V22" s="139" t="s">
        <v>1585</v>
      </c>
      <c r="W22" s="139" t="s">
        <v>1585</v>
      </c>
      <c r="X22" s="139" t="s">
        <v>1585</v>
      </c>
      <c r="Y22" s="139" t="s">
        <v>1585</v>
      </c>
      <c r="Z22" s="139" t="s">
        <v>1585</v>
      </c>
      <c r="AA22" s="139" t="s">
        <v>1585</v>
      </c>
      <c r="AB22" s="139" t="s">
        <v>1585</v>
      </c>
      <c r="AC22" s="139" t="s">
        <v>1585</v>
      </c>
    </row>
    <row r="23" spans="1:29" ht="16.5" customHeight="1" x14ac:dyDescent="0.25">
      <c r="A23" s="191" t="s">
        <v>941</v>
      </c>
      <c r="B23" s="191"/>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row>
    <row r="24" spans="1:29" x14ac:dyDescent="0.25">
      <c r="A24" s="193"/>
      <c r="B24" s="193"/>
      <c r="C24" s="193"/>
      <c r="D24" s="19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row>
    <row r="25" spans="1:29" x14ac:dyDescent="0.25">
      <c r="A25" s="189"/>
      <c r="B25" s="189"/>
      <c r="C25" s="189"/>
      <c r="D25" s="189"/>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row>
    <row r="26" spans="1:29" s="20" customFormat="1" ht="16.5" customHeight="1" x14ac:dyDescent="0.25">
      <c r="B26" s="188"/>
      <c r="C26" s="188"/>
      <c r="D26" s="188"/>
      <c r="F26" s="115"/>
      <c r="G26" s="115"/>
      <c r="H26" s="115"/>
      <c r="J26" s="115"/>
      <c r="K26" s="115"/>
      <c r="L26" s="115"/>
    </row>
    <row r="27" spans="1:29" s="20" customFormat="1" ht="16.5" customHeight="1" x14ac:dyDescent="0.25">
      <c r="B27" s="188"/>
      <c r="C27" s="188"/>
      <c r="D27" s="188"/>
      <c r="F27" s="115"/>
      <c r="G27" s="115"/>
      <c r="H27" s="115"/>
      <c r="J27" s="115"/>
      <c r="K27" s="115"/>
      <c r="L27" s="115"/>
    </row>
    <row r="28" spans="1:29" s="20" customFormat="1" ht="16.5" customHeight="1" x14ac:dyDescent="0.25">
      <c r="B28" s="188"/>
      <c r="C28" s="188"/>
      <c r="D28" s="188"/>
      <c r="F28" s="115"/>
      <c r="G28" s="115"/>
      <c r="H28" s="115"/>
      <c r="J28" s="115"/>
      <c r="K28" s="115"/>
      <c r="L28" s="115"/>
    </row>
    <row r="29" spans="1:29" s="20" customFormat="1" ht="16.5" customHeight="1" x14ac:dyDescent="0.25">
      <c r="B29" s="181" t="s">
        <v>1676</v>
      </c>
      <c r="C29" s="181"/>
      <c r="D29" s="181"/>
      <c r="F29" s="181" t="s">
        <v>1683</v>
      </c>
      <c r="G29" s="181"/>
      <c r="H29" s="181"/>
      <c r="J29" s="181" t="s">
        <v>1582</v>
      </c>
      <c r="K29" s="181"/>
      <c r="L29" s="181"/>
    </row>
    <row r="30" spans="1:29" x14ac:dyDescent="0.25">
      <c r="A30" s="124"/>
    </row>
    <row r="31" spans="1:29" x14ac:dyDescent="0.25">
      <c r="A31" s="124"/>
    </row>
    <row r="32" spans="1:29" x14ac:dyDescent="0.25">
      <c r="A32" s="124"/>
    </row>
    <row r="33" spans="1:29" x14ac:dyDescent="0.25">
      <c r="A33" s="124"/>
    </row>
    <row r="34" spans="1:29" s="132" customFormat="1" ht="15.75" x14ac:dyDescent="0.25">
      <c r="A34" s="190" t="str">
        <f ca="1">Data!N1</f>
        <v/>
      </c>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row>
    <row r="35" spans="1:29" s="132" customFormat="1" ht="15.75" x14ac:dyDescent="0.25">
      <c r="A35" s="142"/>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row>
    <row r="36" spans="1:29" s="132" customFormat="1" ht="15.75" x14ac:dyDescent="0.25">
      <c r="A36" s="190" t="s">
        <v>914</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row>
    <row r="37" spans="1:29" s="132" customFormat="1" ht="15.75" x14ac:dyDescent="0.25">
      <c r="A37" s="186" t="s">
        <v>942</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row>
    <row r="38" spans="1:29" s="132" customFormat="1" ht="15.75" x14ac:dyDescent="0.25">
      <c r="A38" s="165" t="s">
        <v>915</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row>
    <row r="39" spans="1:29" x14ac:dyDescent="0.25">
      <c r="A39" s="185" t="s">
        <v>1584</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row>
    <row r="40" spans="1:29" s="9" customFormat="1" ht="37.5" customHeight="1" x14ac:dyDescent="0.25">
      <c r="A40" s="141" t="s">
        <v>916</v>
      </c>
      <c r="B40" s="184" t="s">
        <v>917</v>
      </c>
      <c r="C40" s="184"/>
      <c r="D40" s="184" t="s">
        <v>918</v>
      </c>
      <c r="E40" s="184"/>
      <c r="F40" s="184" t="s">
        <v>919</v>
      </c>
      <c r="G40" s="184"/>
      <c r="H40" s="184" t="s">
        <v>920</v>
      </c>
      <c r="I40" s="184"/>
      <c r="J40" s="184" t="s">
        <v>921</v>
      </c>
      <c r="K40" s="184"/>
      <c r="L40" s="184" t="s">
        <v>922</v>
      </c>
      <c r="M40" s="184"/>
      <c r="N40" s="184" t="s">
        <v>923</v>
      </c>
      <c r="O40" s="184"/>
      <c r="P40" s="184" t="s">
        <v>924</v>
      </c>
      <c r="Q40" s="184"/>
      <c r="R40" s="184" t="s">
        <v>925</v>
      </c>
      <c r="S40" s="184"/>
      <c r="T40" s="184" t="s">
        <v>926</v>
      </c>
      <c r="U40" s="184"/>
      <c r="V40" s="184" t="s">
        <v>927</v>
      </c>
      <c r="W40" s="184"/>
      <c r="X40" s="184" t="s">
        <v>928</v>
      </c>
      <c r="Y40" s="184"/>
      <c r="Z40" s="184" t="s">
        <v>929</v>
      </c>
      <c r="AA40" s="184"/>
      <c r="AB40" s="184" t="s">
        <v>930</v>
      </c>
      <c r="AC40" s="184"/>
    </row>
    <row r="41" spans="1:29" s="118" customFormat="1" ht="23.25" customHeight="1" x14ac:dyDescent="0.25">
      <c r="A41" s="133" t="s">
        <v>1681</v>
      </c>
      <c r="B41" s="127" t="str">
        <f ca="1">Data!C2</f>
        <v>ados</v>
      </c>
      <c r="C41" s="128" t="e">
        <f ca="1">Data!C2-1</f>
        <v>#VALUE!</v>
      </c>
      <c r="D41" s="129" t="str">
        <f ca="1">Data!C2</f>
        <v>ados</v>
      </c>
      <c r="E41" s="128" t="e">
        <f ca="1">Data!C2-1</f>
        <v>#VALUE!</v>
      </c>
      <c r="F41" s="129" t="str">
        <f ca="1">Data!C2</f>
        <v>ados</v>
      </c>
      <c r="G41" s="128" t="e">
        <f ca="1">Data!C2-1</f>
        <v>#VALUE!</v>
      </c>
      <c r="H41" s="129" t="str">
        <f ca="1">Data!C2</f>
        <v>ados</v>
      </c>
      <c r="I41" s="128" t="e">
        <f ca="1">Data!C2-1</f>
        <v>#VALUE!</v>
      </c>
      <c r="J41" s="129" t="str">
        <f ca="1">Data!C2</f>
        <v>ados</v>
      </c>
      <c r="K41" s="128" t="e">
        <f ca="1">Data!C2-1</f>
        <v>#VALUE!</v>
      </c>
      <c r="L41" s="129" t="str">
        <f ca="1">Data!C2</f>
        <v>ados</v>
      </c>
      <c r="M41" s="128" t="e">
        <f ca="1">Data!C2-1</f>
        <v>#VALUE!</v>
      </c>
      <c r="N41" s="129" t="str">
        <f ca="1">Data!C2</f>
        <v>ados</v>
      </c>
      <c r="O41" s="128" t="e">
        <f ca="1">Data!C2-1</f>
        <v>#VALUE!</v>
      </c>
      <c r="P41" s="129" t="str">
        <f ca="1">Data!C2</f>
        <v>ados</v>
      </c>
      <c r="Q41" s="128" t="e">
        <f ca="1">Data!C2-1</f>
        <v>#VALUE!</v>
      </c>
      <c r="R41" s="129" t="str">
        <f ca="1">Data!C2</f>
        <v>ados</v>
      </c>
      <c r="S41" s="128" t="e">
        <f ca="1">Data!C2-1</f>
        <v>#VALUE!</v>
      </c>
      <c r="T41" s="129" t="str">
        <f ca="1">Data!C2</f>
        <v>ados</v>
      </c>
      <c r="U41" s="128" t="e">
        <f ca="1">Data!C2-1</f>
        <v>#VALUE!</v>
      </c>
      <c r="V41" s="129" t="str">
        <f ca="1">Data!C2</f>
        <v>ados</v>
      </c>
      <c r="W41" s="128" t="e">
        <f ca="1">Data!C2-1</f>
        <v>#VALUE!</v>
      </c>
      <c r="X41" s="129" t="str">
        <f ca="1">Data!C2</f>
        <v>ados</v>
      </c>
      <c r="Y41" s="128" t="e">
        <f ca="1">Data!C2-1</f>
        <v>#VALUE!</v>
      </c>
      <c r="Z41" s="129" t="str">
        <f ca="1">Data!C2</f>
        <v>ados</v>
      </c>
      <c r="AA41" s="128" t="e">
        <f ca="1">Data!C2-1</f>
        <v>#VALUE!</v>
      </c>
      <c r="AB41" s="129" t="str">
        <f ca="1">Data!C2</f>
        <v>ados</v>
      </c>
      <c r="AC41" s="130" t="e">
        <f ca="1">Data!C2-1</f>
        <v>#VALUE!</v>
      </c>
    </row>
    <row r="42" spans="1:29" ht="33" customHeight="1" x14ac:dyDescent="0.25">
      <c r="A42" s="119" t="s">
        <v>943</v>
      </c>
      <c r="B42" s="126"/>
      <c r="C42" s="120"/>
      <c r="D42" s="120" t="s">
        <v>1585</v>
      </c>
      <c r="E42" s="120" t="s">
        <v>1585</v>
      </c>
      <c r="F42" s="120" t="s">
        <v>1585</v>
      </c>
      <c r="G42" s="120" t="s">
        <v>1585</v>
      </c>
      <c r="H42" s="120" t="s">
        <v>1585</v>
      </c>
      <c r="I42" s="120" t="s">
        <v>1585</v>
      </c>
      <c r="J42" s="120" t="s">
        <v>1585</v>
      </c>
      <c r="K42" s="120" t="s">
        <v>1585</v>
      </c>
      <c r="L42" s="120" t="s">
        <v>1585</v>
      </c>
      <c r="M42" s="120" t="s">
        <v>1585</v>
      </c>
      <c r="N42" s="120" t="s">
        <v>1585</v>
      </c>
      <c r="O42" s="120" t="s">
        <v>1585</v>
      </c>
      <c r="P42" s="120" t="s">
        <v>1585</v>
      </c>
      <c r="Q42" s="120" t="s">
        <v>1585</v>
      </c>
      <c r="R42" s="120" t="s">
        <v>1585</v>
      </c>
      <c r="S42" s="120" t="s">
        <v>1585</v>
      </c>
      <c r="T42" s="120" t="s">
        <v>1585</v>
      </c>
      <c r="U42" s="120" t="s">
        <v>1585</v>
      </c>
      <c r="V42" s="120" t="s">
        <v>1585</v>
      </c>
      <c r="W42" s="120" t="s">
        <v>1585</v>
      </c>
      <c r="X42" s="120" t="s">
        <v>1585</v>
      </c>
      <c r="Y42" s="120" t="s">
        <v>1585</v>
      </c>
      <c r="Z42" s="121" t="s">
        <v>1585</v>
      </c>
      <c r="AA42" s="121" t="s">
        <v>1585</v>
      </c>
      <c r="AB42" s="121" t="s">
        <v>1585</v>
      </c>
      <c r="AC42" s="121" t="s">
        <v>1585</v>
      </c>
    </row>
    <row r="43" spans="1:29" ht="33" customHeight="1" x14ac:dyDescent="0.25">
      <c r="A43" s="119" t="s">
        <v>944</v>
      </c>
      <c r="B43" s="126"/>
      <c r="C43" s="121" t="s">
        <v>1585</v>
      </c>
      <c r="D43" s="121" t="s">
        <v>1585</v>
      </c>
      <c r="E43" s="121" t="s">
        <v>1585</v>
      </c>
      <c r="F43" s="121" t="s">
        <v>1585</v>
      </c>
      <c r="G43" s="121" t="s">
        <v>1585</v>
      </c>
      <c r="H43" s="121" t="s">
        <v>1585</v>
      </c>
      <c r="I43" s="121" t="s">
        <v>1585</v>
      </c>
      <c r="J43" s="121" t="s">
        <v>1585</v>
      </c>
      <c r="K43" s="121" t="s">
        <v>1585</v>
      </c>
      <c r="L43" s="121" t="s">
        <v>1585</v>
      </c>
      <c r="M43" s="121" t="s">
        <v>1585</v>
      </c>
      <c r="N43" s="121" t="s">
        <v>1585</v>
      </c>
      <c r="O43" s="121" t="s">
        <v>1585</v>
      </c>
      <c r="P43" s="121" t="s">
        <v>1585</v>
      </c>
      <c r="Q43" s="121" t="s">
        <v>1585</v>
      </c>
      <c r="R43" s="121" t="s">
        <v>1585</v>
      </c>
      <c r="S43" s="121" t="s">
        <v>1585</v>
      </c>
      <c r="T43" s="121" t="s">
        <v>1585</v>
      </c>
      <c r="U43" s="121" t="s">
        <v>1585</v>
      </c>
      <c r="V43" s="121" t="s">
        <v>1585</v>
      </c>
      <c r="W43" s="121" t="s">
        <v>1585</v>
      </c>
      <c r="X43" s="121" t="s">
        <v>1585</v>
      </c>
      <c r="Y43" s="121" t="s">
        <v>1585</v>
      </c>
      <c r="Z43" s="121" t="s">
        <v>1585</v>
      </c>
      <c r="AA43" s="121" t="s">
        <v>1585</v>
      </c>
      <c r="AB43" s="121" t="s">
        <v>1585</v>
      </c>
      <c r="AC43" s="121" t="s">
        <v>1585</v>
      </c>
    </row>
    <row r="44" spans="1:29" ht="33" customHeight="1" x14ac:dyDescent="0.25">
      <c r="A44" s="122" t="s">
        <v>945</v>
      </c>
      <c r="B44" s="126" t="s">
        <v>1585</v>
      </c>
      <c r="C44" s="121" t="s">
        <v>1585</v>
      </c>
      <c r="D44" s="121" t="s">
        <v>1585</v>
      </c>
      <c r="E44" s="121" t="s">
        <v>1585</v>
      </c>
      <c r="F44" s="121" t="s">
        <v>1585</v>
      </c>
      <c r="G44" s="121" t="s">
        <v>1585</v>
      </c>
      <c r="H44" s="121" t="s">
        <v>1585</v>
      </c>
      <c r="I44" s="121" t="s">
        <v>1585</v>
      </c>
      <c r="J44" s="121" t="s">
        <v>1585</v>
      </c>
      <c r="K44" s="121" t="s">
        <v>1585</v>
      </c>
      <c r="L44" s="121" t="s">
        <v>1585</v>
      </c>
      <c r="M44" s="121" t="s">
        <v>1585</v>
      </c>
      <c r="N44" s="121" t="s">
        <v>1585</v>
      </c>
      <c r="O44" s="121" t="s">
        <v>1585</v>
      </c>
      <c r="P44" s="121" t="s">
        <v>1585</v>
      </c>
      <c r="Q44" s="121" t="s">
        <v>1585</v>
      </c>
      <c r="R44" s="121" t="s">
        <v>1585</v>
      </c>
      <c r="S44" s="121" t="s">
        <v>1585</v>
      </c>
      <c r="T44" s="121" t="s">
        <v>1585</v>
      </c>
      <c r="U44" s="121" t="s">
        <v>1585</v>
      </c>
      <c r="V44" s="121" t="s">
        <v>1585</v>
      </c>
      <c r="W44" s="121" t="s">
        <v>1585</v>
      </c>
      <c r="X44" s="121" t="s">
        <v>1585</v>
      </c>
      <c r="Y44" s="121" t="s">
        <v>1585</v>
      </c>
      <c r="Z44" s="121" t="s">
        <v>1585</v>
      </c>
      <c r="AA44" s="121" t="s">
        <v>1585</v>
      </c>
      <c r="AB44" s="121" t="s">
        <v>1585</v>
      </c>
      <c r="AC44" s="121" t="s">
        <v>1585</v>
      </c>
    </row>
    <row r="45" spans="1:29" ht="21" customHeight="1" x14ac:dyDescent="0.25">
      <c r="A45" s="135" t="s">
        <v>946</v>
      </c>
      <c r="B45" s="136" t="s">
        <v>1585</v>
      </c>
      <c r="C45" s="136" t="s">
        <v>1585</v>
      </c>
      <c r="D45" s="136" t="s">
        <v>1585</v>
      </c>
      <c r="E45" s="136" t="s">
        <v>1585</v>
      </c>
      <c r="F45" s="136" t="s">
        <v>1585</v>
      </c>
      <c r="G45" s="136" t="s">
        <v>1585</v>
      </c>
      <c r="H45" s="136" t="s">
        <v>1585</v>
      </c>
      <c r="I45" s="136" t="s">
        <v>1585</v>
      </c>
      <c r="J45" s="136" t="s">
        <v>1585</v>
      </c>
      <c r="K45" s="136" t="s">
        <v>1585</v>
      </c>
      <c r="L45" s="136" t="s">
        <v>1585</v>
      </c>
      <c r="M45" s="136" t="s">
        <v>1585</v>
      </c>
      <c r="N45" s="136" t="s">
        <v>1585</v>
      </c>
      <c r="O45" s="136" t="s">
        <v>1585</v>
      </c>
      <c r="P45" s="136" t="s">
        <v>1585</v>
      </c>
      <c r="Q45" s="136" t="s">
        <v>1585</v>
      </c>
      <c r="R45" s="136" t="s">
        <v>1585</v>
      </c>
      <c r="S45" s="136" t="s">
        <v>1585</v>
      </c>
      <c r="T45" s="136" t="s">
        <v>1585</v>
      </c>
      <c r="U45" s="136" t="s">
        <v>1585</v>
      </c>
      <c r="V45" s="136" t="s">
        <v>1585</v>
      </c>
      <c r="W45" s="136" t="s">
        <v>1585</v>
      </c>
      <c r="X45" s="136" t="s">
        <v>1585</v>
      </c>
      <c r="Y45" s="136" t="s">
        <v>1585</v>
      </c>
      <c r="Z45" s="136" t="s">
        <v>1585</v>
      </c>
      <c r="AA45" s="136" t="s">
        <v>1585</v>
      </c>
      <c r="AB45" s="136" t="s">
        <v>1585</v>
      </c>
      <c r="AC45" s="136" t="s">
        <v>1585</v>
      </c>
    </row>
    <row r="46" spans="1:29" ht="33" customHeight="1" x14ac:dyDescent="0.25">
      <c r="A46" s="122" t="s">
        <v>947</v>
      </c>
      <c r="B46" s="126"/>
      <c r="C46" s="121" t="s">
        <v>1585</v>
      </c>
      <c r="D46" s="121" t="s">
        <v>1585</v>
      </c>
      <c r="E46" s="121" t="s">
        <v>1585</v>
      </c>
      <c r="F46" s="121" t="s">
        <v>1585</v>
      </c>
      <c r="G46" s="121" t="s">
        <v>1585</v>
      </c>
      <c r="H46" s="121" t="s">
        <v>1585</v>
      </c>
      <c r="I46" s="121" t="s">
        <v>1585</v>
      </c>
      <c r="J46" s="121" t="s">
        <v>1585</v>
      </c>
      <c r="K46" s="121" t="s">
        <v>1585</v>
      </c>
      <c r="L46" s="121" t="s">
        <v>1585</v>
      </c>
      <c r="M46" s="121" t="s">
        <v>1585</v>
      </c>
      <c r="N46" s="121" t="s">
        <v>1585</v>
      </c>
      <c r="O46" s="121" t="s">
        <v>1585</v>
      </c>
      <c r="P46" s="121" t="s">
        <v>1585</v>
      </c>
      <c r="Q46" s="121" t="s">
        <v>1585</v>
      </c>
      <c r="R46" s="121" t="s">
        <v>1585</v>
      </c>
      <c r="S46" s="121" t="s">
        <v>1585</v>
      </c>
      <c r="T46" s="121" t="s">
        <v>1585</v>
      </c>
      <c r="U46" s="121" t="s">
        <v>1585</v>
      </c>
      <c r="V46" s="121" t="s">
        <v>1585</v>
      </c>
      <c r="W46" s="121" t="s">
        <v>1585</v>
      </c>
      <c r="X46" s="121" t="s">
        <v>1585</v>
      </c>
      <c r="Y46" s="121" t="s">
        <v>1585</v>
      </c>
      <c r="Z46" s="121" t="s">
        <v>1585</v>
      </c>
      <c r="AA46" s="121" t="s">
        <v>1585</v>
      </c>
      <c r="AB46" s="121" t="s">
        <v>1585</v>
      </c>
      <c r="AC46" s="121" t="s">
        <v>1585</v>
      </c>
    </row>
    <row r="47" spans="1:29" ht="33" customHeight="1" x14ac:dyDescent="0.25">
      <c r="A47" s="122" t="s">
        <v>948</v>
      </c>
      <c r="B47" s="126" t="s">
        <v>1585</v>
      </c>
      <c r="C47" s="121" t="s">
        <v>1585</v>
      </c>
      <c r="D47" s="121" t="s">
        <v>1585</v>
      </c>
      <c r="E47" s="121" t="s">
        <v>1585</v>
      </c>
      <c r="F47" s="121" t="s">
        <v>1585</v>
      </c>
      <c r="G47" s="121" t="s">
        <v>1585</v>
      </c>
      <c r="H47" s="121" t="s">
        <v>1585</v>
      </c>
      <c r="I47" s="121" t="s">
        <v>1585</v>
      </c>
      <c r="J47" s="121" t="s">
        <v>1585</v>
      </c>
      <c r="K47" s="121" t="s">
        <v>1585</v>
      </c>
      <c r="L47" s="121" t="s">
        <v>1585</v>
      </c>
      <c r="M47" s="121" t="s">
        <v>1585</v>
      </c>
      <c r="N47" s="121" t="s">
        <v>1585</v>
      </c>
      <c r="O47" s="121" t="s">
        <v>1585</v>
      </c>
      <c r="P47" s="121" t="s">
        <v>1585</v>
      </c>
      <c r="Q47" s="121" t="s">
        <v>1585</v>
      </c>
      <c r="R47" s="121" t="s">
        <v>1585</v>
      </c>
      <c r="S47" s="121" t="s">
        <v>1585</v>
      </c>
      <c r="T47" s="121" t="s">
        <v>1585</v>
      </c>
      <c r="U47" s="121" t="s">
        <v>1585</v>
      </c>
      <c r="V47" s="121" t="s">
        <v>1585</v>
      </c>
      <c r="W47" s="121" t="s">
        <v>1585</v>
      </c>
      <c r="X47" s="121" t="s">
        <v>1585</v>
      </c>
      <c r="Y47" s="121" t="s">
        <v>1585</v>
      </c>
      <c r="Z47" s="121" t="s">
        <v>1585</v>
      </c>
      <c r="AA47" s="121" t="s">
        <v>1585</v>
      </c>
      <c r="AB47" s="121" t="s">
        <v>1585</v>
      </c>
      <c r="AC47" s="121" t="s">
        <v>1585</v>
      </c>
    </row>
    <row r="48" spans="1:29" ht="21" customHeight="1" x14ac:dyDescent="0.25">
      <c r="A48" s="135" t="s">
        <v>949</v>
      </c>
      <c r="B48" s="136" t="s">
        <v>1585</v>
      </c>
      <c r="C48" s="136" t="s">
        <v>1585</v>
      </c>
      <c r="D48" s="136" t="s">
        <v>1585</v>
      </c>
      <c r="E48" s="136" t="s">
        <v>1585</v>
      </c>
      <c r="F48" s="136" t="s">
        <v>1585</v>
      </c>
      <c r="G48" s="136" t="s">
        <v>1585</v>
      </c>
      <c r="H48" s="136" t="s">
        <v>1585</v>
      </c>
      <c r="I48" s="136" t="s">
        <v>1585</v>
      </c>
      <c r="J48" s="136" t="s">
        <v>1585</v>
      </c>
      <c r="K48" s="136" t="s">
        <v>1585</v>
      </c>
      <c r="L48" s="136" t="s">
        <v>1585</v>
      </c>
      <c r="M48" s="136" t="s">
        <v>1585</v>
      </c>
      <c r="N48" s="136" t="s">
        <v>1585</v>
      </c>
      <c r="O48" s="136" t="s">
        <v>1585</v>
      </c>
      <c r="P48" s="136" t="s">
        <v>1585</v>
      </c>
      <c r="Q48" s="136" t="s">
        <v>1585</v>
      </c>
      <c r="R48" s="136" t="s">
        <v>1585</v>
      </c>
      <c r="S48" s="136" t="s">
        <v>1585</v>
      </c>
      <c r="T48" s="136" t="s">
        <v>1585</v>
      </c>
      <c r="U48" s="136" t="s">
        <v>1585</v>
      </c>
      <c r="V48" s="136" t="s">
        <v>1585</v>
      </c>
      <c r="W48" s="136" t="s">
        <v>1585</v>
      </c>
      <c r="X48" s="136" t="s">
        <v>1585</v>
      </c>
      <c r="Y48" s="136" t="s">
        <v>1585</v>
      </c>
      <c r="Z48" s="136" t="s">
        <v>1585</v>
      </c>
      <c r="AA48" s="136" t="s">
        <v>1585</v>
      </c>
      <c r="AB48" s="136" t="s">
        <v>1585</v>
      </c>
      <c r="AC48" s="136" t="s">
        <v>1585</v>
      </c>
    </row>
    <row r="49" spans="1:29" ht="16.5" customHeight="1" x14ac:dyDescent="0.25">
      <c r="A49" s="187" t="s">
        <v>941</v>
      </c>
      <c r="B49" s="187"/>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row>
    <row r="50" spans="1:29" ht="16.5" customHeight="1" x14ac:dyDescent="0.25"/>
    <row r="52" spans="1:29" x14ac:dyDescent="0.25">
      <c r="A52" s="125"/>
    </row>
    <row r="53" spans="1:29" s="20" customFormat="1" ht="16.5" customHeight="1" x14ac:dyDescent="0.25">
      <c r="B53" s="188"/>
      <c r="C53" s="188"/>
      <c r="D53" s="188"/>
      <c r="F53" s="115"/>
      <c r="G53" s="115"/>
      <c r="H53" s="115"/>
      <c r="J53" s="115"/>
      <c r="K53" s="115"/>
      <c r="L53" s="115"/>
    </row>
    <row r="54" spans="1:29" s="20" customFormat="1" ht="16.5" customHeight="1" x14ac:dyDescent="0.25">
      <c r="B54" s="188"/>
      <c r="C54" s="188"/>
      <c r="D54" s="188"/>
      <c r="F54" s="115"/>
      <c r="G54" s="115"/>
      <c r="H54" s="115"/>
      <c r="J54" s="115"/>
      <c r="K54" s="115"/>
      <c r="L54" s="115"/>
    </row>
    <row r="55" spans="1:29" s="20" customFormat="1" ht="16.5" customHeight="1" x14ac:dyDescent="0.25">
      <c r="B55" s="188"/>
      <c r="C55" s="188"/>
      <c r="D55" s="188"/>
      <c r="F55" s="115"/>
      <c r="G55" s="115"/>
      <c r="H55" s="115"/>
      <c r="J55" s="115"/>
      <c r="K55" s="115"/>
      <c r="L55" s="115"/>
    </row>
    <row r="56" spans="1:29" s="20" customFormat="1" ht="16.5" customHeight="1" x14ac:dyDescent="0.25">
      <c r="B56" s="181" t="s">
        <v>1676</v>
      </c>
      <c r="C56" s="181"/>
      <c r="D56" s="181"/>
      <c r="F56" s="181" t="s">
        <v>1683</v>
      </c>
      <c r="G56" s="181"/>
      <c r="H56" s="181"/>
      <c r="J56" s="181" t="s">
        <v>1582</v>
      </c>
      <c r="K56" s="181"/>
      <c r="L56" s="181"/>
    </row>
    <row r="59" spans="1:29" x14ac:dyDescent="0.25">
      <c r="G59" s="20"/>
    </row>
    <row r="60" spans="1:29" x14ac:dyDescent="0.25">
      <c r="G60" s="20"/>
    </row>
    <row r="61" spans="1:29" x14ac:dyDescent="0.25">
      <c r="G61" s="20"/>
    </row>
    <row r="62" spans="1:29" x14ac:dyDescent="0.25">
      <c r="G62" s="20"/>
    </row>
  </sheetData>
  <sheetProtection password="AE9E" sheet="1" objects="1" scenarios="1"/>
  <protectedRanges>
    <protectedRange sqref="E42:AC49 B42:D48 C49:D49" name="Rango2"/>
    <protectedRange sqref="B8:AC23" name="Rango1"/>
    <protectedRange sqref="F53:G53 J53:L53 A53:C53 F26:G26 J26:L26 A26:C26" name="Rango2_1"/>
  </protectedRanges>
  <mergeCells count="49">
    <mergeCell ref="A2:AC2"/>
    <mergeCell ref="A3:AC3"/>
    <mergeCell ref="A4:AC4"/>
    <mergeCell ref="B6:C6"/>
    <mergeCell ref="D6:E6"/>
    <mergeCell ref="F6:G6"/>
    <mergeCell ref="H6:I6"/>
    <mergeCell ref="J6:K6"/>
    <mergeCell ref="L6:M6"/>
    <mergeCell ref="N6:O6"/>
    <mergeCell ref="A5:AC5"/>
    <mergeCell ref="Z6:AA6"/>
    <mergeCell ref="AB6:AC6"/>
    <mergeCell ref="A25:D25"/>
    <mergeCell ref="A34:AC34"/>
    <mergeCell ref="A36:AC36"/>
    <mergeCell ref="A23:B23"/>
    <mergeCell ref="P6:Q6"/>
    <mergeCell ref="R6:S6"/>
    <mergeCell ref="T6:U6"/>
    <mergeCell ref="V6:W6"/>
    <mergeCell ref="X6:Y6"/>
    <mergeCell ref="A24:D24"/>
    <mergeCell ref="B26:D28"/>
    <mergeCell ref="B29:D29"/>
    <mergeCell ref="F29:H29"/>
    <mergeCell ref="J29:L29"/>
    <mergeCell ref="B56:D56"/>
    <mergeCell ref="B40:C40"/>
    <mergeCell ref="D40:E40"/>
    <mergeCell ref="F40:G40"/>
    <mergeCell ref="H40:I40"/>
    <mergeCell ref="F56:H56"/>
    <mergeCell ref="A49:B49"/>
    <mergeCell ref="B53:D55"/>
    <mergeCell ref="A39:AC39"/>
    <mergeCell ref="J40:K40"/>
    <mergeCell ref="L40:M40"/>
    <mergeCell ref="A38:AC38"/>
    <mergeCell ref="A37:AC37"/>
    <mergeCell ref="J56:L56"/>
    <mergeCell ref="Z40:AA40"/>
    <mergeCell ref="AB40:AC40"/>
    <mergeCell ref="N40:O40"/>
    <mergeCell ref="P40:Q40"/>
    <mergeCell ref="R40:S40"/>
    <mergeCell ref="T40:U40"/>
    <mergeCell ref="V40:W40"/>
    <mergeCell ref="X40:Y40"/>
  </mergeCells>
  <pageMargins left="0.51181102362204722" right="0.31496062992125984" top="1.1417322834645669" bottom="0.74803149606299213" header="0.31496062992125984" footer="0.31496062992125984"/>
  <pageSetup paperSize="5" scale="37" orientation="landscape" r:id="rId1"/>
  <rowBreaks count="1" manualBreakCount="1">
    <brk id="33"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52"/>
  <sheetViews>
    <sheetView showGridLines="0" tabSelected="1" view="pageBreakPreview" zoomScale="110" zoomScaleNormal="100" zoomScaleSheetLayoutView="110" workbookViewId="0">
      <selection activeCell="F9" sqref="F9"/>
    </sheetView>
  </sheetViews>
  <sheetFormatPr baseColWidth="10" defaultColWidth="11.42578125" defaultRowHeight="12.75" x14ac:dyDescent="0.25"/>
  <cols>
    <col min="1" max="1" width="15" style="38" customWidth="1"/>
    <col min="2" max="2" width="62.5703125" style="38" customWidth="1"/>
    <col min="3" max="3" width="10.140625" style="38" customWidth="1"/>
    <col min="4" max="4" width="18.140625" style="49" bestFit="1" customWidth="1"/>
    <col min="5" max="5" width="17.42578125" style="49" bestFit="1" customWidth="1"/>
    <col min="6" max="6" width="18" style="49" bestFit="1" customWidth="1"/>
    <col min="7" max="257" width="11.42578125" style="38"/>
    <col min="258" max="258" width="62.5703125" style="38" customWidth="1"/>
    <col min="259" max="261" width="11.42578125" style="38"/>
    <col min="262" max="262" width="14" style="38" customWidth="1"/>
    <col min="263" max="513" width="11.42578125" style="38"/>
    <col min="514" max="514" width="62.5703125" style="38" customWidth="1"/>
    <col min="515" max="517" width="11.42578125" style="38"/>
    <col min="518" max="518" width="14" style="38" customWidth="1"/>
    <col min="519" max="769" width="11.42578125" style="38"/>
    <col min="770" max="770" width="62.5703125" style="38" customWidth="1"/>
    <col min="771" max="773" width="11.42578125" style="38"/>
    <col min="774" max="774" width="14" style="38" customWidth="1"/>
    <col min="775" max="1025" width="11.42578125" style="38"/>
    <col min="1026" max="1026" width="62.5703125" style="38" customWidth="1"/>
    <col min="1027" max="1029" width="11.42578125" style="38"/>
    <col min="1030" max="1030" width="14" style="38" customWidth="1"/>
    <col min="1031" max="1281" width="11.42578125" style="38"/>
    <col min="1282" max="1282" width="62.5703125" style="38" customWidth="1"/>
    <col min="1283" max="1285" width="11.42578125" style="38"/>
    <col min="1286" max="1286" width="14" style="38" customWidth="1"/>
    <col min="1287" max="1537" width="11.42578125" style="38"/>
    <col min="1538" max="1538" width="62.5703125" style="38" customWidth="1"/>
    <col min="1539" max="1541" width="11.42578125" style="38"/>
    <col min="1542" max="1542" width="14" style="38" customWidth="1"/>
    <col min="1543" max="1793" width="11.42578125" style="38"/>
    <col min="1794" max="1794" width="62.5703125" style="38" customWidth="1"/>
    <col min="1795" max="1797" width="11.42578125" style="38"/>
    <col min="1798" max="1798" width="14" style="38" customWidth="1"/>
    <col min="1799" max="2049" width="11.42578125" style="38"/>
    <col min="2050" max="2050" width="62.5703125" style="38" customWidth="1"/>
    <col min="2051" max="2053" width="11.42578125" style="38"/>
    <col min="2054" max="2054" width="14" style="38" customWidth="1"/>
    <col min="2055" max="2305" width="11.42578125" style="38"/>
    <col min="2306" max="2306" width="62.5703125" style="38" customWidth="1"/>
    <col min="2307" max="2309" width="11.42578125" style="38"/>
    <col min="2310" max="2310" width="14" style="38" customWidth="1"/>
    <col min="2311" max="2561" width="11.42578125" style="38"/>
    <col min="2562" max="2562" width="62.5703125" style="38" customWidth="1"/>
    <col min="2563" max="2565" width="11.42578125" style="38"/>
    <col min="2566" max="2566" width="14" style="38" customWidth="1"/>
    <col min="2567" max="2817" width="11.42578125" style="38"/>
    <col min="2818" max="2818" width="62.5703125" style="38" customWidth="1"/>
    <col min="2819" max="2821" width="11.42578125" style="38"/>
    <col min="2822" max="2822" width="14" style="38" customWidth="1"/>
    <col min="2823" max="3073" width="11.42578125" style="38"/>
    <col min="3074" max="3074" width="62.5703125" style="38" customWidth="1"/>
    <col min="3075" max="3077" width="11.42578125" style="38"/>
    <col min="3078" max="3078" width="14" style="38" customWidth="1"/>
    <col min="3079" max="3329" width="11.42578125" style="38"/>
    <col min="3330" max="3330" width="62.5703125" style="38" customWidth="1"/>
    <col min="3331" max="3333" width="11.42578125" style="38"/>
    <col min="3334" max="3334" width="14" style="38" customWidth="1"/>
    <col min="3335" max="3585" width="11.42578125" style="38"/>
    <col min="3586" max="3586" width="62.5703125" style="38" customWidth="1"/>
    <col min="3587" max="3589" width="11.42578125" style="38"/>
    <col min="3590" max="3590" width="14" style="38" customWidth="1"/>
    <col min="3591" max="3841" width="11.42578125" style="38"/>
    <col min="3842" max="3842" width="62.5703125" style="38" customWidth="1"/>
    <col min="3843" max="3845" width="11.42578125" style="38"/>
    <col min="3846" max="3846" width="14" style="38" customWidth="1"/>
    <col min="3847" max="4097" width="11.42578125" style="38"/>
    <col min="4098" max="4098" width="62.5703125" style="38" customWidth="1"/>
    <col min="4099" max="4101" width="11.42578125" style="38"/>
    <col min="4102" max="4102" width="14" style="38" customWidth="1"/>
    <col min="4103" max="4353" width="11.42578125" style="38"/>
    <col min="4354" max="4354" width="62.5703125" style="38" customWidth="1"/>
    <col min="4355" max="4357" width="11.42578125" style="38"/>
    <col min="4358" max="4358" width="14" style="38" customWidth="1"/>
    <col min="4359" max="4609" width="11.42578125" style="38"/>
    <col min="4610" max="4610" width="62.5703125" style="38" customWidth="1"/>
    <col min="4611" max="4613" width="11.42578125" style="38"/>
    <col min="4614" max="4614" width="14" style="38" customWidth="1"/>
    <col min="4615" max="4865" width="11.42578125" style="38"/>
    <col min="4866" max="4866" width="62.5703125" style="38" customWidth="1"/>
    <col min="4867" max="4869" width="11.42578125" style="38"/>
    <col min="4870" max="4870" width="14" style="38" customWidth="1"/>
    <col min="4871" max="5121" width="11.42578125" style="38"/>
    <col min="5122" max="5122" width="62.5703125" style="38" customWidth="1"/>
    <col min="5123" max="5125" width="11.42578125" style="38"/>
    <col min="5126" max="5126" width="14" style="38" customWidth="1"/>
    <col min="5127" max="5377" width="11.42578125" style="38"/>
    <col min="5378" max="5378" width="62.5703125" style="38" customWidth="1"/>
    <col min="5379" max="5381" width="11.42578125" style="38"/>
    <col min="5382" max="5382" width="14" style="38" customWidth="1"/>
    <col min="5383" max="5633" width="11.42578125" style="38"/>
    <col min="5634" max="5634" width="62.5703125" style="38" customWidth="1"/>
    <col min="5635" max="5637" width="11.42578125" style="38"/>
    <col min="5638" max="5638" width="14" style="38" customWidth="1"/>
    <col min="5639" max="5889" width="11.42578125" style="38"/>
    <col min="5890" max="5890" width="62.5703125" style="38" customWidth="1"/>
    <col min="5891" max="5893" width="11.42578125" style="38"/>
    <col min="5894" max="5894" width="14" style="38" customWidth="1"/>
    <col min="5895" max="6145" width="11.42578125" style="38"/>
    <col min="6146" max="6146" width="62.5703125" style="38" customWidth="1"/>
    <col min="6147" max="6149" width="11.42578125" style="38"/>
    <col min="6150" max="6150" width="14" style="38" customWidth="1"/>
    <col min="6151" max="6401" width="11.42578125" style="38"/>
    <col min="6402" max="6402" width="62.5703125" style="38" customWidth="1"/>
    <col min="6403" max="6405" width="11.42578125" style="38"/>
    <col min="6406" max="6406" width="14" style="38" customWidth="1"/>
    <col min="6407" max="6657" width="11.42578125" style="38"/>
    <col min="6658" max="6658" width="62.5703125" style="38" customWidth="1"/>
    <col min="6659" max="6661" width="11.42578125" style="38"/>
    <col min="6662" max="6662" width="14" style="38" customWidth="1"/>
    <col min="6663" max="6913" width="11.42578125" style="38"/>
    <col min="6914" max="6914" width="62.5703125" style="38" customWidth="1"/>
    <col min="6915" max="6917" width="11.42578125" style="38"/>
    <col min="6918" max="6918" width="14" style="38" customWidth="1"/>
    <col min="6919" max="7169" width="11.42578125" style="38"/>
    <col min="7170" max="7170" width="62.5703125" style="38" customWidth="1"/>
    <col min="7171" max="7173" width="11.42578125" style="38"/>
    <col min="7174" max="7174" width="14" style="38" customWidth="1"/>
    <col min="7175" max="7425" width="11.42578125" style="38"/>
    <col min="7426" max="7426" width="62.5703125" style="38" customWidth="1"/>
    <col min="7427" max="7429" width="11.42578125" style="38"/>
    <col min="7430" max="7430" width="14" style="38" customWidth="1"/>
    <col min="7431" max="7681" width="11.42578125" style="38"/>
    <col min="7682" max="7682" width="62.5703125" style="38" customWidth="1"/>
    <col min="7683" max="7685" width="11.42578125" style="38"/>
    <col min="7686" max="7686" width="14" style="38" customWidth="1"/>
    <col min="7687" max="7937" width="11.42578125" style="38"/>
    <col min="7938" max="7938" width="62.5703125" style="38" customWidth="1"/>
    <col min="7939" max="7941" width="11.42578125" style="38"/>
    <col min="7942" max="7942" width="14" style="38" customWidth="1"/>
    <col min="7943" max="8193" width="11.42578125" style="38"/>
    <col min="8194" max="8194" width="62.5703125" style="38" customWidth="1"/>
    <col min="8195" max="8197" width="11.42578125" style="38"/>
    <col min="8198" max="8198" width="14" style="38" customWidth="1"/>
    <col min="8199" max="8449" width="11.42578125" style="38"/>
    <col min="8450" max="8450" width="62.5703125" style="38" customWidth="1"/>
    <col min="8451" max="8453" width="11.42578125" style="38"/>
    <col min="8454" max="8454" width="14" style="38" customWidth="1"/>
    <col min="8455" max="8705" width="11.42578125" style="38"/>
    <col min="8706" max="8706" width="62.5703125" style="38" customWidth="1"/>
    <col min="8707" max="8709" width="11.42578125" style="38"/>
    <col min="8710" max="8710" width="14" style="38" customWidth="1"/>
    <col min="8711" max="8961" width="11.42578125" style="38"/>
    <col min="8962" max="8962" width="62.5703125" style="38" customWidth="1"/>
    <col min="8963" max="8965" width="11.42578125" style="38"/>
    <col min="8966" max="8966" width="14" style="38" customWidth="1"/>
    <col min="8967" max="9217" width="11.42578125" style="38"/>
    <col min="9218" max="9218" width="62.5703125" style="38" customWidth="1"/>
    <col min="9219" max="9221" width="11.42578125" style="38"/>
    <col min="9222" max="9222" width="14" style="38" customWidth="1"/>
    <col min="9223" max="9473" width="11.42578125" style="38"/>
    <col min="9474" max="9474" width="62.5703125" style="38" customWidth="1"/>
    <col min="9475" max="9477" width="11.42578125" style="38"/>
    <col min="9478" max="9478" width="14" style="38" customWidth="1"/>
    <col min="9479" max="9729" width="11.42578125" style="38"/>
    <col min="9730" max="9730" width="62.5703125" style="38" customWidth="1"/>
    <col min="9731" max="9733" width="11.42578125" style="38"/>
    <col min="9734" max="9734" width="14" style="38" customWidth="1"/>
    <col min="9735" max="9985" width="11.42578125" style="38"/>
    <col min="9986" max="9986" width="62.5703125" style="38" customWidth="1"/>
    <col min="9987" max="9989" width="11.42578125" style="38"/>
    <col min="9990" max="9990" width="14" style="38" customWidth="1"/>
    <col min="9991" max="10241" width="11.42578125" style="38"/>
    <col min="10242" max="10242" width="62.5703125" style="38" customWidth="1"/>
    <col min="10243" max="10245" width="11.42578125" style="38"/>
    <col min="10246" max="10246" width="14" style="38" customWidth="1"/>
    <col min="10247" max="10497" width="11.42578125" style="38"/>
    <col min="10498" max="10498" width="62.5703125" style="38" customWidth="1"/>
    <col min="10499" max="10501" width="11.42578125" style="38"/>
    <col min="10502" max="10502" width="14" style="38" customWidth="1"/>
    <col min="10503" max="10753" width="11.42578125" style="38"/>
    <col min="10754" max="10754" width="62.5703125" style="38" customWidth="1"/>
    <col min="10755" max="10757" width="11.42578125" style="38"/>
    <col min="10758" max="10758" width="14" style="38" customWidth="1"/>
    <col min="10759" max="11009" width="11.42578125" style="38"/>
    <col min="11010" max="11010" width="62.5703125" style="38" customWidth="1"/>
    <col min="11011" max="11013" width="11.42578125" style="38"/>
    <col min="11014" max="11014" width="14" style="38" customWidth="1"/>
    <col min="11015" max="11265" width="11.42578125" style="38"/>
    <col min="11266" max="11266" width="62.5703125" style="38" customWidth="1"/>
    <col min="11267" max="11269" width="11.42578125" style="38"/>
    <col min="11270" max="11270" width="14" style="38" customWidth="1"/>
    <col min="11271" max="11521" width="11.42578125" style="38"/>
    <col min="11522" max="11522" width="62.5703125" style="38" customWidth="1"/>
    <col min="11523" max="11525" width="11.42578125" style="38"/>
    <col min="11526" max="11526" width="14" style="38" customWidth="1"/>
    <col min="11527" max="11777" width="11.42578125" style="38"/>
    <col min="11778" max="11778" width="62.5703125" style="38" customWidth="1"/>
    <col min="11779" max="11781" width="11.42578125" style="38"/>
    <col min="11782" max="11782" width="14" style="38" customWidth="1"/>
    <col min="11783" max="12033" width="11.42578125" style="38"/>
    <col min="12034" max="12034" width="62.5703125" style="38" customWidth="1"/>
    <col min="12035" max="12037" width="11.42578125" style="38"/>
    <col min="12038" max="12038" width="14" style="38" customWidth="1"/>
    <col min="12039" max="12289" width="11.42578125" style="38"/>
    <col min="12290" max="12290" width="62.5703125" style="38" customWidth="1"/>
    <col min="12291" max="12293" width="11.42578125" style="38"/>
    <col min="12294" max="12294" width="14" style="38" customWidth="1"/>
    <col min="12295" max="12545" width="11.42578125" style="38"/>
    <col min="12546" max="12546" width="62.5703125" style="38" customWidth="1"/>
    <col min="12547" max="12549" width="11.42578125" style="38"/>
    <col min="12550" max="12550" width="14" style="38" customWidth="1"/>
    <col min="12551" max="12801" width="11.42578125" style="38"/>
    <col min="12802" max="12802" width="62.5703125" style="38" customWidth="1"/>
    <col min="12803" max="12805" width="11.42578125" style="38"/>
    <col min="12806" max="12806" width="14" style="38" customWidth="1"/>
    <col min="12807" max="13057" width="11.42578125" style="38"/>
    <col min="13058" max="13058" width="62.5703125" style="38" customWidth="1"/>
    <col min="13059" max="13061" width="11.42578125" style="38"/>
    <col min="13062" max="13062" width="14" style="38" customWidth="1"/>
    <col min="13063" max="13313" width="11.42578125" style="38"/>
    <col min="13314" max="13314" width="62.5703125" style="38" customWidth="1"/>
    <col min="13315" max="13317" width="11.42578125" style="38"/>
    <col min="13318" max="13318" width="14" style="38" customWidth="1"/>
    <col min="13319" max="13569" width="11.42578125" style="38"/>
    <col min="13570" max="13570" width="62.5703125" style="38" customWidth="1"/>
    <col min="13571" max="13573" width="11.42578125" style="38"/>
    <col min="13574" max="13574" width="14" style="38" customWidth="1"/>
    <col min="13575" max="13825" width="11.42578125" style="38"/>
    <col min="13826" max="13826" width="62.5703125" style="38" customWidth="1"/>
    <col min="13827" max="13829" width="11.42578125" style="38"/>
    <col min="13830" max="13830" width="14" style="38" customWidth="1"/>
    <col min="13831" max="14081" width="11.42578125" style="38"/>
    <col min="14082" max="14082" width="62.5703125" style="38" customWidth="1"/>
    <col min="14083" max="14085" width="11.42578125" style="38"/>
    <col min="14086" max="14086" width="14" style="38" customWidth="1"/>
    <col min="14087" max="14337" width="11.42578125" style="38"/>
    <col min="14338" max="14338" width="62.5703125" style="38" customWidth="1"/>
    <col min="14339" max="14341" width="11.42578125" style="38"/>
    <col min="14342" max="14342" width="14" style="38" customWidth="1"/>
    <col min="14343" max="14593" width="11.42578125" style="38"/>
    <col min="14594" max="14594" width="62.5703125" style="38" customWidth="1"/>
    <col min="14595" max="14597" width="11.42578125" style="38"/>
    <col min="14598" max="14598" width="14" style="38" customWidth="1"/>
    <col min="14599" max="14849" width="11.42578125" style="38"/>
    <col min="14850" max="14850" width="62.5703125" style="38" customWidth="1"/>
    <col min="14851" max="14853" width="11.42578125" style="38"/>
    <col min="14854" max="14854" width="14" style="38" customWidth="1"/>
    <col min="14855" max="15105" width="11.42578125" style="38"/>
    <col min="15106" max="15106" width="62.5703125" style="38" customWidth="1"/>
    <col min="15107" max="15109" width="11.42578125" style="38"/>
    <col min="15110" max="15110" width="14" style="38" customWidth="1"/>
    <col min="15111" max="15361" width="11.42578125" style="38"/>
    <col min="15362" max="15362" width="62.5703125" style="38" customWidth="1"/>
    <col min="15363" max="15365" width="11.42578125" style="38"/>
    <col min="15366" max="15366" width="14" style="38" customWidth="1"/>
    <col min="15367" max="15617" width="11.42578125" style="38"/>
    <col min="15618" max="15618" width="62.5703125" style="38" customWidth="1"/>
    <col min="15619" max="15621" width="11.42578125" style="38"/>
    <col min="15622" max="15622" width="14" style="38" customWidth="1"/>
    <col min="15623" max="15873" width="11.42578125" style="38"/>
    <col min="15874" max="15874" width="62.5703125" style="38" customWidth="1"/>
    <col min="15875" max="15877" width="11.42578125" style="38"/>
    <col min="15878" max="15878" width="14" style="38" customWidth="1"/>
    <col min="15879" max="16129" width="11.42578125" style="38"/>
    <col min="16130" max="16130" width="62.5703125" style="38" customWidth="1"/>
    <col min="16131" max="16133" width="11.42578125" style="38"/>
    <col min="16134" max="16134" width="14" style="38" customWidth="1"/>
    <col min="16135" max="16384" width="11.42578125" style="38"/>
  </cols>
  <sheetData>
    <row r="1" spans="1:6" ht="18" customHeight="1" x14ac:dyDescent="0.25">
      <c r="A1" s="163" t="str">
        <f ca="1">Data!N1</f>
        <v/>
      </c>
      <c r="B1" s="163"/>
      <c r="C1" s="163"/>
      <c r="D1" s="163"/>
      <c r="E1" s="163"/>
      <c r="F1" s="38"/>
    </row>
    <row r="2" spans="1:6" ht="18" customHeight="1" x14ac:dyDescent="0.25">
      <c r="A2" s="163" t="s">
        <v>375</v>
      </c>
      <c r="B2" s="163"/>
      <c r="C2" s="163"/>
      <c r="D2" s="163"/>
      <c r="E2" s="163"/>
      <c r="F2" s="39"/>
    </row>
    <row r="3" spans="1:6" ht="18" customHeight="1" x14ac:dyDescent="0.25">
      <c r="A3" s="423" t="s">
        <v>3168</v>
      </c>
      <c r="B3" s="163"/>
      <c r="C3" s="163"/>
      <c r="D3" s="163"/>
      <c r="E3" s="163"/>
      <c r="F3" s="38"/>
    </row>
    <row r="4" spans="1:6" ht="18" customHeight="1" x14ac:dyDescent="0.25">
      <c r="A4" s="164" t="s">
        <v>1583</v>
      </c>
      <c r="B4" s="164"/>
      <c r="C4" s="164"/>
      <c r="D4" s="164"/>
      <c r="E4" s="164"/>
      <c r="F4" s="38"/>
    </row>
    <row r="5" spans="1:6" ht="7.5" customHeight="1" x14ac:dyDescent="0.25">
      <c r="B5" s="37"/>
      <c r="C5" s="37"/>
      <c r="D5" s="96"/>
    </row>
    <row r="6" spans="1:6" s="113" customFormat="1" ht="24.75" customHeight="1" x14ac:dyDescent="0.25">
      <c r="A6" s="110" t="s">
        <v>1590</v>
      </c>
      <c r="B6" s="110" t="s">
        <v>1677</v>
      </c>
      <c r="C6" s="111" t="s">
        <v>1</v>
      </c>
      <c r="D6" s="110" t="str">
        <f ca="1">"Año "&amp;Data!C2</f>
        <v>Año ados</v>
      </c>
      <c r="E6" s="110" t="e">
        <f ca="1">"Año "&amp;Data!C2-1</f>
        <v>#VALUE!</v>
      </c>
      <c r="F6" s="112"/>
    </row>
    <row r="7" spans="1:6" ht="7.5" customHeight="1" x14ac:dyDescent="0.25">
      <c r="B7" s="37"/>
      <c r="C7" s="37"/>
      <c r="D7" s="96"/>
    </row>
    <row r="8" spans="1:6" s="99" customFormat="1" ht="18" customHeight="1" x14ac:dyDescent="0.25">
      <c r="A8" s="97" t="s">
        <v>376</v>
      </c>
      <c r="B8" s="52" t="s">
        <v>377</v>
      </c>
      <c r="C8" s="82"/>
      <c r="D8" s="83"/>
      <c r="E8" s="83"/>
      <c r="F8" s="98"/>
    </row>
    <row r="9" spans="1:6" s="99" customFormat="1" ht="18" customHeight="1" x14ac:dyDescent="0.25">
      <c r="A9" s="79" t="s">
        <v>378</v>
      </c>
      <c r="B9" s="56" t="s">
        <v>379</v>
      </c>
      <c r="C9" s="80"/>
      <c r="D9" s="76"/>
      <c r="E9" s="76"/>
      <c r="F9" s="98"/>
    </row>
    <row r="10" spans="1:6" ht="18" customHeight="1" x14ac:dyDescent="0.25">
      <c r="A10" s="59" t="s">
        <v>380</v>
      </c>
      <c r="B10" s="60" t="s">
        <v>381</v>
      </c>
      <c r="C10" s="61">
        <v>31</v>
      </c>
      <c r="D10" s="62">
        <f>SUM(D11:D14)</f>
        <v>0</v>
      </c>
      <c r="E10" s="62">
        <f>SUM(E11:E14)</f>
        <v>0</v>
      </c>
      <c r="F10" s="44"/>
    </row>
    <row r="11" spans="1:6" ht="18" customHeight="1" x14ac:dyDescent="0.25">
      <c r="A11" s="63" t="s">
        <v>382</v>
      </c>
      <c r="B11" s="64" t="s">
        <v>383</v>
      </c>
      <c r="C11" s="65"/>
      <c r="D11" s="66"/>
      <c r="E11" s="66"/>
      <c r="F11" s="44"/>
    </row>
    <row r="12" spans="1:6" ht="18" customHeight="1" x14ac:dyDescent="0.25">
      <c r="A12" s="63" t="s">
        <v>384</v>
      </c>
      <c r="B12" s="64" t="s">
        <v>385</v>
      </c>
      <c r="C12" s="65"/>
      <c r="D12" s="66"/>
      <c r="E12" s="66"/>
      <c r="F12" s="44"/>
    </row>
    <row r="13" spans="1:6" ht="18" customHeight="1" x14ac:dyDescent="0.25">
      <c r="A13" s="63" t="s">
        <v>386</v>
      </c>
      <c r="B13" s="64" t="s">
        <v>387</v>
      </c>
      <c r="C13" s="65"/>
      <c r="D13" s="66"/>
      <c r="E13" s="66">
        <v>0</v>
      </c>
      <c r="F13" s="44"/>
    </row>
    <row r="14" spans="1:6" ht="18" customHeight="1" x14ac:dyDescent="0.25">
      <c r="A14" s="63" t="s">
        <v>388</v>
      </c>
      <c r="B14" s="64" t="s">
        <v>389</v>
      </c>
      <c r="C14" s="65"/>
      <c r="D14" s="66"/>
      <c r="E14" s="66"/>
      <c r="F14" s="44"/>
    </row>
    <row r="15" spans="1:6" ht="18" customHeight="1" x14ac:dyDescent="0.25">
      <c r="A15" s="59" t="s">
        <v>390</v>
      </c>
      <c r="B15" s="60" t="s">
        <v>391</v>
      </c>
      <c r="C15" s="61" t="s">
        <v>392</v>
      </c>
      <c r="D15" s="62">
        <f>SUM(D16:D21)</f>
        <v>0</v>
      </c>
      <c r="E15" s="62">
        <f>SUM(E16:E21)</f>
        <v>0</v>
      </c>
      <c r="F15" s="44"/>
    </row>
    <row r="16" spans="1:6" ht="18" customHeight="1" x14ac:dyDescent="0.25">
      <c r="A16" s="68" t="s">
        <v>393</v>
      </c>
      <c r="B16" s="100" t="s">
        <v>394</v>
      </c>
      <c r="C16" s="65"/>
      <c r="D16" s="66"/>
      <c r="E16" s="66"/>
    </row>
    <row r="17" spans="1:6" ht="18" customHeight="1" x14ac:dyDescent="0.25">
      <c r="A17" s="68" t="s">
        <v>395</v>
      </c>
      <c r="B17" s="100" t="s">
        <v>396</v>
      </c>
      <c r="C17" s="65"/>
      <c r="D17" s="66"/>
      <c r="E17" s="66"/>
    </row>
    <row r="18" spans="1:6" ht="18" customHeight="1" x14ac:dyDescent="0.25">
      <c r="A18" s="68" t="s">
        <v>397</v>
      </c>
      <c r="B18" s="100" t="s">
        <v>398</v>
      </c>
      <c r="C18" s="65"/>
      <c r="D18" s="66"/>
      <c r="E18" s="66"/>
    </row>
    <row r="19" spans="1:6" ht="18" customHeight="1" x14ac:dyDescent="0.25">
      <c r="A19" s="68" t="s">
        <v>399</v>
      </c>
      <c r="B19" s="100" t="s">
        <v>400</v>
      </c>
      <c r="C19" s="65"/>
      <c r="D19" s="66"/>
      <c r="E19" s="66"/>
    </row>
    <row r="20" spans="1:6" ht="18" customHeight="1" x14ac:dyDescent="0.25">
      <c r="A20" s="68" t="s">
        <v>401</v>
      </c>
      <c r="B20" s="100" t="s">
        <v>402</v>
      </c>
      <c r="C20" s="65"/>
      <c r="D20" s="66"/>
      <c r="E20" s="66"/>
    </row>
    <row r="21" spans="1:6" ht="18" customHeight="1" x14ac:dyDescent="0.25">
      <c r="A21" s="68" t="s">
        <v>403</v>
      </c>
      <c r="B21" s="100" t="s">
        <v>404</v>
      </c>
      <c r="C21" s="65"/>
      <c r="D21" s="66"/>
      <c r="E21" s="66"/>
    </row>
    <row r="22" spans="1:6" ht="18" customHeight="1" x14ac:dyDescent="0.25">
      <c r="A22" s="59" t="s">
        <v>405</v>
      </c>
      <c r="B22" s="60" t="s">
        <v>406</v>
      </c>
      <c r="C22" s="61" t="s">
        <v>407</v>
      </c>
      <c r="D22" s="62">
        <f>SUM(D23:D25)</f>
        <v>0</v>
      </c>
      <c r="E22" s="62">
        <f>SUM(E23:E25)</f>
        <v>0</v>
      </c>
      <c r="F22" s="44"/>
    </row>
    <row r="23" spans="1:6" ht="18" customHeight="1" x14ac:dyDescent="0.25">
      <c r="A23" s="68" t="s">
        <v>408</v>
      </c>
      <c r="B23" s="100" t="s">
        <v>409</v>
      </c>
      <c r="C23" s="65"/>
      <c r="D23" s="66"/>
      <c r="E23" s="66"/>
    </row>
    <row r="24" spans="1:6" ht="18" customHeight="1" x14ac:dyDescent="0.25">
      <c r="A24" s="68" t="s">
        <v>410</v>
      </c>
      <c r="B24" s="100" t="s">
        <v>411</v>
      </c>
      <c r="C24" s="65"/>
      <c r="D24" s="66"/>
      <c r="E24" s="66"/>
    </row>
    <row r="25" spans="1:6" ht="18" customHeight="1" x14ac:dyDescent="0.25">
      <c r="A25" s="68" t="s">
        <v>412</v>
      </c>
      <c r="B25" s="101" t="s">
        <v>413</v>
      </c>
      <c r="C25" s="65"/>
      <c r="D25" s="66"/>
      <c r="E25" s="66"/>
    </row>
    <row r="26" spans="1:6" ht="18" customHeight="1" x14ac:dyDescent="0.25">
      <c r="A26" s="59" t="s">
        <v>414</v>
      </c>
      <c r="B26" s="60" t="s">
        <v>415</v>
      </c>
      <c r="C26" s="61" t="s">
        <v>416</v>
      </c>
      <c r="D26" s="62">
        <f>SUM(D27:D29)</f>
        <v>0</v>
      </c>
      <c r="E26" s="62">
        <f>SUM(E27:E29)</f>
        <v>0</v>
      </c>
      <c r="F26" s="44"/>
    </row>
    <row r="27" spans="1:6" ht="18" customHeight="1" x14ac:dyDescent="0.25">
      <c r="A27" s="68" t="s">
        <v>417</v>
      </c>
      <c r="B27" s="100" t="s">
        <v>418</v>
      </c>
      <c r="C27" s="65"/>
      <c r="D27" s="66"/>
      <c r="E27" s="66"/>
    </row>
    <row r="28" spans="1:6" ht="18" customHeight="1" x14ac:dyDescent="0.25">
      <c r="A28" s="68" t="s">
        <v>419</v>
      </c>
      <c r="B28" s="100" t="s">
        <v>420</v>
      </c>
      <c r="C28" s="65"/>
      <c r="D28" s="66"/>
      <c r="E28" s="66"/>
    </row>
    <row r="29" spans="1:6" ht="18" customHeight="1" x14ac:dyDescent="0.25">
      <c r="A29" s="68" t="s">
        <v>421</v>
      </c>
      <c r="B29" s="100" t="s">
        <v>422</v>
      </c>
      <c r="C29" s="65"/>
      <c r="D29" s="66"/>
      <c r="E29" s="66"/>
    </row>
    <row r="30" spans="1:6" ht="18" customHeight="1" x14ac:dyDescent="0.25">
      <c r="A30" s="59" t="s">
        <v>423</v>
      </c>
      <c r="B30" s="60" t="s">
        <v>424</v>
      </c>
      <c r="C30" s="61" t="s">
        <v>425</v>
      </c>
      <c r="D30" s="62">
        <f>SUM(D31:D32)</f>
        <v>0</v>
      </c>
      <c r="E30" s="62">
        <f>SUM(E31:E32)</f>
        <v>0</v>
      </c>
      <c r="F30" s="44"/>
    </row>
    <row r="31" spans="1:6" ht="18" customHeight="1" x14ac:dyDescent="0.25">
      <c r="A31" s="68" t="s">
        <v>426</v>
      </c>
      <c r="B31" s="100" t="s">
        <v>427</v>
      </c>
      <c r="C31" s="65"/>
      <c r="D31" s="66"/>
      <c r="E31" s="66"/>
    </row>
    <row r="32" spans="1:6" s="99" customFormat="1" ht="18" customHeight="1" x14ac:dyDescent="0.25">
      <c r="A32" s="79" t="s">
        <v>428</v>
      </c>
      <c r="B32" s="56" t="s">
        <v>429</v>
      </c>
      <c r="C32" s="80"/>
      <c r="D32" s="76"/>
      <c r="E32" s="76"/>
      <c r="F32" s="98"/>
    </row>
    <row r="33" spans="1:6" ht="18" customHeight="1" x14ac:dyDescent="0.25">
      <c r="A33" s="59" t="s">
        <v>430</v>
      </c>
      <c r="B33" s="60" t="s">
        <v>431</v>
      </c>
      <c r="C33" s="61" t="s">
        <v>432</v>
      </c>
      <c r="D33" s="62">
        <f>SUM(D34:D36)</f>
        <v>0</v>
      </c>
      <c r="E33" s="62">
        <f>SUM(E34:E36)</f>
        <v>0</v>
      </c>
      <c r="F33" s="44"/>
    </row>
    <row r="34" spans="1:6" ht="18" customHeight="1" x14ac:dyDescent="0.25">
      <c r="A34" s="68" t="s">
        <v>433</v>
      </c>
      <c r="B34" s="100" t="s">
        <v>434</v>
      </c>
      <c r="C34" s="65"/>
      <c r="D34" s="66"/>
      <c r="E34" s="66"/>
    </row>
    <row r="35" spans="1:6" ht="18" customHeight="1" x14ac:dyDescent="0.25">
      <c r="A35" s="68" t="s">
        <v>435</v>
      </c>
      <c r="B35" s="100" t="s">
        <v>436</v>
      </c>
      <c r="C35" s="65"/>
      <c r="D35" s="66"/>
      <c r="E35" s="66"/>
    </row>
    <row r="36" spans="1:6" ht="18" customHeight="1" x14ac:dyDescent="0.25">
      <c r="A36" s="68" t="s">
        <v>437</v>
      </c>
      <c r="B36" s="100" t="s">
        <v>438</v>
      </c>
      <c r="C36" s="65"/>
      <c r="D36" s="66"/>
      <c r="E36" s="66"/>
    </row>
    <row r="37" spans="1:6" ht="18" customHeight="1" x14ac:dyDescent="0.25">
      <c r="A37" s="59" t="s">
        <v>439</v>
      </c>
      <c r="B37" s="60" t="s">
        <v>440</v>
      </c>
      <c r="C37" s="61" t="s">
        <v>441</v>
      </c>
      <c r="D37" s="62">
        <f>SUM(D38:D39)</f>
        <v>0</v>
      </c>
      <c r="E37" s="62">
        <f>SUM(E38:E39)</f>
        <v>0</v>
      </c>
      <c r="F37" s="44"/>
    </row>
    <row r="38" spans="1:6" ht="18" customHeight="1" x14ac:dyDescent="0.25">
      <c r="A38" s="68" t="s">
        <v>442</v>
      </c>
      <c r="B38" s="100" t="s">
        <v>443</v>
      </c>
      <c r="C38" s="65"/>
      <c r="D38" s="66"/>
      <c r="E38" s="66"/>
    </row>
    <row r="39" spans="1:6" s="99" customFormat="1" ht="18" customHeight="1" x14ac:dyDescent="0.25">
      <c r="A39" s="79" t="s">
        <v>444</v>
      </c>
      <c r="B39" s="56" t="s">
        <v>445</v>
      </c>
      <c r="C39" s="80"/>
      <c r="D39" s="76"/>
      <c r="E39" s="76"/>
      <c r="F39" s="98"/>
    </row>
    <row r="40" spans="1:6" ht="18" customHeight="1" x14ac:dyDescent="0.25">
      <c r="A40" s="59" t="s">
        <v>446</v>
      </c>
      <c r="B40" s="60" t="s">
        <v>447</v>
      </c>
      <c r="C40" s="61" t="s">
        <v>448</v>
      </c>
      <c r="D40" s="62">
        <f>SUM(D41:D44)</f>
        <v>64.330079999999995</v>
      </c>
      <c r="E40" s="62">
        <f>SUM(E41:E44)</f>
        <v>23.08</v>
      </c>
      <c r="F40" s="44"/>
    </row>
    <row r="41" spans="1:6" ht="18" customHeight="1" x14ac:dyDescent="0.25">
      <c r="A41" s="68" t="s">
        <v>449</v>
      </c>
      <c r="B41" s="100" t="s">
        <v>450</v>
      </c>
      <c r="C41" s="65"/>
      <c r="D41" s="66"/>
      <c r="E41" s="66"/>
    </row>
    <row r="42" spans="1:6" ht="18" customHeight="1" x14ac:dyDescent="0.25">
      <c r="A42" s="68" t="s">
        <v>451</v>
      </c>
      <c r="B42" s="100" t="s">
        <v>452</v>
      </c>
      <c r="C42" s="65"/>
      <c r="D42" s="66"/>
      <c r="E42" s="66">
        <v>23.08</v>
      </c>
    </row>
    <row r="43" spans="1:6" ht="18" customHeight="1" x14ac:dyDescent="0.25">
      <c r="A43" s="68" t="s">
        <v>453</v>
      </c>
      <c r="B43" s="100" t="s">
        <v>454</v>
      </c>
      <c r="C43" s="65"/>
      <c r="D43" s="66">
        <f>64330.08/1000</f>
        <v>64.330079999999995</v>
      </c>
      <c r="E43" s="66"/>
    </row>
    <row r="44" spans="1:6" ht="18" customHeight="1" x14ac:dyDescent="0.25">
      <c r="A44" s="68" t="s">
        <v>455</v>
      </c>
      <c r="B44" s="100" t="s">
        <v>456</v>
      </c>
      <c r="C44" s="65"/>
      <c r="D44" s="66"/>
      <c r="E44" s="66"/>
    </row>
    <row r="45" spans="1:6" ht="18" customHeight="1" x14ac:dyDescent="0.25">
      <c r="A45" s="59" t="s">
        <v>457</v>
      </c>
      <c r="B45" s="60" t="s">
        <v>458</v>
      </c>
      <c r="C45" s="61" t="s">
        <v>459</v>
      </c>
      <c r="D45" s="62">
        <f>SUM(D46:D47)</f>
        <v>0</v>
      </c>
      <c r="E45" s="62">
        <f>SUM(E46:E47)</f>
        <v>0</v>
      </c>
      <c r="F45" s="44"/>
    </row>
    <row r="46" spans="1:6" ht="18" customHeight="1" x14ac:dyDescent="0.25">
      <c r="A46" s="68" t="s">
        <v>460</v>
      </c>
      <c r="B46" s="100" t="s">
        <v>461</v>
      </c>
      <c r="C46" s="65"/>
      <c r="D46" s="66"/>
      <c r="E46" s="66"/>
    </row>
    <row r="47" spans="1:6" s="99" customFormat="1" ht="18" customHeight="1" x14ac:dyDescent="0.25">
      <c r="A47" s="79" t="s">
        <v>462</v>
      </c>
      <c r="B47" s="56" t="s">
        <v>463</v>
      </c>
      <c r="C47" s="80"/>
      <c r="D47" s="76"/>
      <c r="E47" s="76"/>
      <c r="F47" s="98"/>
    </row>
    <row r="48" spans="1:6" ht="18" customHeight="1" x14ac:dyDescent="0.25">
      <c r="A48" s="59" t="s">
        <v>464</v>
      </c>
      <c r="B48" s="60" t="s">
        <v>465</v>
      </c>
      <c r="C48" s="61" t="s">
        <v>466</v>
      </c>
      <c r="D48" s="62">
        <f>SUM(D49:D50)</f>
        <v>0</v>
      </c>
      <c r="E48" s="62">
        <f>SUM(E49:E50)</f>
        <v>1.65</v>
      </c>
      <c r="F48" s="44"/>
    </row>
    <row r="49" spans="1:6" ht="18" customHeight="1" x14ac:dyDescent="0.25">
      <c r="A49" s="68" t="s">
        <v>467</v>
      </c>
      <c r="B49" s="100" t="s">
        <v>468</v>
      </c>
      <c r="C49" s="65"/>
      <c r="D49" s="66"/>
      <c r="E49" s="66"/>
    </row>
    <row r="50" spans="1:6" ht="18" customHeight="1" x14ac:dyDescent="0.25">
      <c r="A50" s="68" t="s">
        <v>469</v>
      </c>
      <c r="B50" s="100" t="s">
        <v>470</v>
      </c>
      <c r="C50" s="65"/>
      <c r="D50" s="66"/>
      <c r="E50" s="66">
        <v>1.65</v>
      </c>
    </row>
    <row r="51" spans="1:6" ht="18" customHeight="1" x14ac:dyDescent="0.25">
      <c r="A51" s="59" t="s">
        <v>471</v>
      </c>
      <c r="B51" s="60" t="s">
        <v>472</v>
      </c>
      <c r="C51" s="61" t="s">
        <v>473</v>
      </c>
      <c r="D51" s="62">
        <f>SUM(D52:D53)</f>
        <v>0</v>
      </c>
      <c r="E51" s="62">
        <f>SUM(E52:E53)</f>
        <v>0</v>
      </c>
      <c r="F51" s="44"/>
    </row>
    <row r="52" spans="1:6" ht="18" customHeight="1" x14ac:dyDescent="0.25">
      <c r="A52" s="68" t="s">
        <v>474</v>
      </c>
      <c r="B52" s="100" t="s">
        <v>475</v>
      </c>
      <c r="C52" s="65"/>
      <c r="D52" s="66"/>
      <c r="E52" s="66"/>
    </row>
    <row r="53" spans="1:6" ht="18" customHeight="1" x14ac:dyDescent="0.25">
      <c r="A53" s="68" t="s">
        <v>476</v>
      </c>
      <c r="B53" s="100" t="s">
        <v>477</v>
      </c>
      <c r="C53" s="65"/>
      <c r="D53" s="66"/>
      <c r="E53" s="66"/>
    </row>
    <row r="54" spans="1:6" ht="18" customHeight="1" x14ac:dyDescent="0.25">
      <c r="A54" s="59" t="s">
        <v>478</v>
      </c>
      <c r="B54" s="60" t="s">
        <v>479</v>
      </c>
      <c r="C54" s="61" t="s">
        <v>480</v>
      </c>
      <c r="D54" s="62">
        <f>SUM(D55:D57)</f>
        <v>0</v>
      </c>
      <c r="E54" s="62">
        <f>SUM(E55:E57)</f>
        <v>0</v>
      </c>
      <c r="F54" s="44"/>
    </row>
    <row r="55" spans="1:6" ht="18" customHeight="1" x14ac:dyDescent="0.25">
      <c r="A55" s="68" t="s">
        <v>481</v>
      </c>
      <c r="B55" s="100" t="s">
        <v>482</v>
      </c>
      <c r="C55" s="65"/>
      <c r="D55" s="66"/>
      <c r="E55" s="66"/>
    </row>
    <row r="56" spans="1:6" ht="18" customHeight="1" x14ac:dyDescent="0.25">
      <c r="A56" s="68" t="s">
        <v>483</v>
      </c>
      <c r="B56" s="100" t="s">
        <v>484</v>
      </c>
      <c r="C56" s="65"/>
      <c r="D56" s="66"/>
      <c r="E56" s="66"/>
    </row>
    <row r="57" spans="1:6" ht="18" customHeight="1" x14ac:dyDescent="0.25">
      <c r="A57" s="68" t="s">
        <v>485</v>
      </c>
      <c r="B57" s="100" t="s">
        <v>486</v>
      </c>
      <c r="C57" s="65"/>
      <c r="D57" s="66"/>
      <c r="E57" s="66"/>
    </row>
    <row r="58" spans="1:6" ht="18" customHeight="1" x14ac:dyDescent="0.25">
      <c r="A58" s="59" t="s">
        <v>487</v>
      </c>
      <c r="B58" s="60" t="s">
        <v>488</v>
      </c>
      <c r="C58" s="61" t="s">
        <v>489</v>
      </c>
      <c r="D58" s="62">
        <f>SUM(D59:D60)</f>
        <v>0</v>
      </c>
      <c r="E58" s="62">
        <f>SUM(E59:E60)</f>
        <v>0</v>
      </c>
      <c r="F58" s="44"/>
    </row>
    <row r="59" spans="1:6" ht="18" customHeight="1" x14ac:dyDescent="0.25">
      <c r="A59" s="68" t="s">
        <v>490</v>
      </c>
      <c r="B59" s="100" t="s">
        <v>491</v>
      </c>
      <c r="C59" s="65"/>
      <c r="D59" s="66"/>
      <c r="E59" s="66"/>
    </row>
    <row r="60" spans="1:6" ht="18" customHeight="1" x14ac:dyDescent="0.25">
      <c r="A60" s="68" t="s">
        <v>492</v>
      </c>
      <c r="B60" s="100" t="s">
        <v>493</v>
      </c>
      <c r="C60" s="65"/>
      <c r="D60" s="66"/>
      <c r="E60" s="66"/>
    </row>
    <row r="61" spans="1:6" ht="18" customHeight="1" x14ac:dyDescent="0.25">
      <c r="A61" s="59" t="s">
        <v>494</v>
      </c>
      <c r="B61" s="60" t="s">
        <v>495</v>
      </c>
      <c r="C61" s="61" t="s">
        <v>496</v>
      </c>
      <c r="D61" s="62">
        <f>SUM(D62:D70)</f>
        <v>0</v>
      </c>
      <c r="E61" s="62">
        <f>SUM(E62:E70)</f>
        <v>0</v>
      </c>
      <c r="F61" s="44"/>
    </row>
    <row r="62" spans="1:6" ht="18" customHeight="1" x14ac:dyDescent="0.25">
      <c r="A62" s="68" t="s">
        <v>497</v>
      </c>
      <c r="B62" s="100" t="s">
        <v>498</v>
      </c>
      <c r="C62" s="65"/>
      <c r="D62" s="66"/>
      <c r="E62" s="66"/>
    </row>
    <row r="63" spans="1:6" ht="18" customHeight="1" x14ac:dyDescent="0.25">
      <c r="A63" s="68" t="s">
        <v>499</v>
      </c>
      <c r="B63" s="100" t="s">
        <v>500</v>
      </c>
      <c r="C63" s="65"/>
      <c r="D63" s="66"/>
      <c r="E63" s="66"/>
    </row>
    <row r="64" spans="1:6" ht="18" customHeight="1" x14ac:dyDescent="0.25">
      <c r="A64" s="68" t="s">
        <v>501</v>
      </c>
      <c r="B64" s="100" t="s">
        <v>502</v>
      </c>
      <c r="C64" s="65"/>
      <c r="D64" s="66"/>
      <c r="E64" s="66"/>
    </row>
    <row r="65" spans="1:6" ht="18" customHeight="1" x14ac:dyDescent="0.25">
      <c r="A65" s="68" t="s">
        <v>503</v>
      </c>
      <c r="B65" s="100" t="s">
        <v>504</v>
      </c>
      <c r="C65" s="65"/>
      <c r="D65" s="66"/>
      <c r="E65" s="66"/>
    </row>
    <row r="66" spans="1:6" ht="18" customHeight="1" x14ac:dyDescent="0.25">
      <c r="A66" s="68" t="s">
        <v>505</v>
      </c>
      <c r="B66" s="100" t="s">
        <v>506</v>
      </c>
      <c r="C66" s="65"/>
      <c r="D66" s="66"/>
      <c r="E66" s="66"/>
    </row>
    <row r="67" spans="1:6" ht="18" customHeight="1" x14ac:dyDescent="0.25">
      <c r="A67" s="68" t="s">
        <v>507</v>
      </c>
      <c r="B67" s="100" t="s">
        <v>508</v>
      </c>
      <c r="C67" s="65"/>
      <c r="D67" s="66"/>
      <c r="E67" s="66"/>
    </row>
    <row r="68" spans="1:6" ht="18" customHeight="1" x14ac:dyDescent="0.25">
      <c r="A68" s="68" t="s">
        <v>509</v>
      </c>
      <c r="B68" s="100" t="s">
        <v>510</v>
      </c>
      <c r="C68" s="65"/>
      <c r="D68" s="66"/>
      <c r="E68" s="66"/>
    </row>
    <row r="69" spans="1:6" ht="18" customHeight="1" x14ac:dyDescent="0.25">
      <c r="A69" s="68" t="s">
        <v>511</v>
      </c>
      <c r="B69" s="100" t="s">
        <v>512</v>
      </c>
      <c r="C69" s="65"/>
      <c r="D69" s="66"/>
      <c r="E69" s="66"/>
    </row>
    <row r="70" spans="1:6" ht="18" customHeight="1" x14ac:dyDescent="0.25">
      <c r="A70" s="68" t="s">
        <v>513</v>
      </c>
      <c r="B70" s="101" t="s">
        <v>514</v>
      </c>
      <c r="C70" s="65"/>
      <c r="D70" s="66"/>
      <c r="E70" s="66"/>
    </row>
    <row r="71" spans="1:6" s="99" customFormat="1" ht="24.75" customHeight="1" x14ac:dyDescent="0.25">
      <c r="A71" s="79" t="s">
        <v>515</v>
      </c>
      <c r="B71" s="56" t="s">
        <v>516</v>
      </c>
      <c r="C71" s="80" t="s">
        <v>517</v>
      </c>
      <c r="D71" s="76">
        <f>SUM(D72:D73)</f>
        <v>0</v>
      </c>
      <c r="E71" s="76">
        <f>SUM(E72:E73)</f>
        <v>0</v>
      </c>
      <c r="F71" s="98"/>
    </row>
    <row r="72" spans="1:6" ht="18" customHeight="1" x14ac:dyDescent="0.25">
      <c r="A72" s="68" t="s">
        <v>518</v>
      </c>
      <c r="B72" s="100" t="s">
        <v>519</v>
      </c>
      <c r="C72" s="65"/>
      <c r="D72" s="66"/>
      <c r="E72" s="66"/>
    </row>
    <row r="73" spans="1:6" s="99" customFormat="1" ht="18" customHeight="1" x14ac:dyDescent="0.25">
      <c r="A73" s="79" t="s">
        <v>520</v>
      </c>
      <c r="B73" s="56" t="s">
        <v>521</v>
      </c>
      <c r="C73" s="80"/>
      <c r="D73" s="76"/>
      <c r="E73" s="76"/>
      <c r="F73" s="98"/>
    </row>
    <row r="74" spans="1:6" ht="18" customHeight="1" x14ac:dyDescent="0.25">
      <c r="A74" s="59" t="s">
        <v>522</v>
      </c>
      <c r="B74" s="60" t="s">
        <v>523</v>
      </c>
      <c r="C74" s="61" t="s">
        <v>524</v>
      </c>
      <c r="D74" s="62">
        <f>SUM(D75:D77)</f>
        <v>9.6999999999999986E-3</v>
      </c>
      <c r="E74" s="62">
        <f>SUM(E75:E77)</f>
        <v>0.01</v>
      </c>
      <c r="F74" s="44"/>
    </row>
    <row r="75" spans="1:6" ht="18" customHeight="1" x14ac:dyDescent="0.25">
      <c r="A75" s="68" t="s">
        <v>525</v>
      </c>
      <c r="B75" s="100" t="s">
        <v>526</v>
      </c>
      <c r="C75" s="65"/>
      <c r="D75" s="66">
        <f>9.7/1000</f>
        <v>9.6999999999999986E-3</v>
      </c>
      <c r="E75" s="66"/>
    </row>
    <row r="76" spans="1:6" ht="18" customHeight="1" x14ac:dyDescent="0.25">
      <c r="A76" s="68" t="s">
        <v>527</v>
      </c>
      <c r="B76" s="100" t="s">
        <v>528</v>
      </c>
      <c r="C76" s="65"/>
      <c r="D76" s="66"/>
      <c r="E76" s="66">
        <v>0.01</v>
      </c>
    </row>
    <row r="77" spans="1:6" ht="18" customHeight="1" x14ac:dyDescent="0.25">
      <c r="A77" s="68" t="s">
        <v>529</v>
      </c>
      <c r="B77" s="100" t="s">
        <v>530</v>
      </c>
      <c r="C77" s="65"/>
      <c r="D77" s="66"/>
      <c r="E77" s="66"/>
    </row>
    <row r="78" spans="1:6" ht="18" customHeight="1" x14ac:dyDescent="0.25">
      <c r="A78" s="59" t="s">
        <v>531</v>
      </c>
      <c r="B78" s="60" t="s">
        <v>532</v>
      </c>
      <c r="C78" s="61" t="s">
        <v>533</v>
      </c>
      <c r="D78" s="62">
        <f>SUM(D79:D81)</f>
        <v>0</v>
      </c>
      <c r="E78" s="62">
        <f>SUM(E79:E81)</f>
        <v>0</v>
      </c>
      <c r="F78" s="44"/>
    </row>
    <row r="79" spans="1:6" ht="18" customHeight="1" x14ac:dyDescent="0.25">
      <c r="A79" s="68" t="s">
        <v>534</v>
      </c>
      <c r="B79" s="100" t="s">
        <v>535</v>
      </c>
      <c r="C79" s="65"/>
      <c r="D79" s="66"/>
      <c r="E79" s="66"/>
    </row>
    <row r="80" spans="1:6" ht="18" customHeight="1" x14ac:dyDescent="0.25">
      <c r="A80" s="68" t="s">
        <v>536</v>
      </c>
      <c r="B80" s="100" t="s">
        <v>537</v>
      </c>
      <c r="C80" s="65"/>
      <c r="D80" s="66"/>
      <c r="E80" s="66"/>
    </row>
    <row r="81" spans="1:6" ht="18" customHeight="1" x14ac:dyDescent="0.25">
      <c r="A81" s="68" t="s">
        <v>538</v>
      </c>
      <c r="B81" s="100" t="s">
        <v>539</v>
      </c>
      <c r="C81" s="65"/>
      <c r="D81" s="66"/>
      <c r="E81" s="66"/>
    </row>
    <row r="82" spans="1:6" ht="18" customHeight="1" x14ac:dyDescent="0.25">
      <c r="A82" s="59" t="s">
        <v>540</v>
      </c>
      <c r="B82" s="60" t="s">
        <v>541</v>
      </c>
      <c r="C82" s="61" t="s">
        <v>542</v>
      </c>
      <c r="D82" s="62">
        <f>SUM(D83:D89)</f>
        <v>0</v>
      </c>
      <c r="E82" s="62">
        <f>SUM(E83:E89)</f>
        <v>0</v>
      </c>
      <c r="F82" s="44"/>
    </row>
    <row r="83" spans="1:6" ht="18" customHeight="1" x14ac:dyDescent="0.25">
      <c r="A83" s="68" t="s">
        <v>543</v>
      </c>
      <c r="B83" s="100" t="s">
        <v>544</v>
      </c>
      <c r="C83" s="65"/>
      <c r="D83" s="66"/>
      <c r="E83" s="66"/>
    </row>
    <row r="84" spans="1:6" ht="18" customHeight="1" x14ac:dyDescent="0.25">
      <c r="A84" s="68" t="s">
        <v>545</v>
      </c>
      <c r="B84" s="100" t="s">
        <v>546</v>
      </c>
      <c r="C84" s="65"/>
      <c r="D84" s="66"/>
      <c r="E84" s="66"/>
    </row>
    <row r="85" spans="1:6" ht="18" customHeight="1" x14ac:dyDescent="0.25">
      <c r="A85" s="68" t="s">
        <v>547</v>
      </c>
      <c r="B85" s="100" t="s">
        <v>548</v>
      </c>
      <c r="C85" s="65"/>
      <c r="D85" s="66"/>
      <c r="E85" s="66"/>
    </row>
    <row r="86" spans="1:6" ht="18" customHeight="1" x14ac:dyDescent="0.25">
      <c r="A86" s="68" t="s">
        <v>549</v>
      </c>
      <c r="B86" s="100" t="s">
        <v>550</v>
      </c>
      <c r="C86" s="65"/>
      <c r="D86" s="66"/>
      <c r="E86" s="66"/>
    </row>
    <row r="87" spans="1:6" ht="18" customHeight="1" x14ac:dyDescent="0.25">
      <c r="A87" s="68" t="s">
        <v>551</v>
      </c>
      <c r="B87" s="100" t="s">
        <v>552</v>
      </c>
      <c r="C87" s="65"/>
      <c r="D87" s="66"/>
      <c r="E87" s="66"/>
    </row>
    <row r="88" spans="1:6" ht="18" customHeight="1" x14ac:dyDescent="0.25">
      <c r="A88" s="68" t="s">
        <v>553</v>
      </c>
      <c r="B88" s="100" t="s">
        <v>554</v>
      </c>
      <c r="C88" s="65"/>
      <c r="D88" s="66"/>
      <c r="E88" s="66"/>
    </row>
    <row r="89" spans="1:6" s="99" customFormat="1" ht="18" customHeight="1" x14ac:dyDescent="0.25">
      <c r="A89" s="79" t="s">
        <v>555</v>
      </c>
      <c r="B89" s="56" t="s">
        <v>556</v>
      </c>
      <c r="C89" s="80"/>
      <c r="D89" s="76"/>
      <c r="E89" s="76"/>
      <c r="F89" s="98"/>
    </row>
    <row r="90" spans="1:6" ht="18" customHeight="1" x14ac:dyDescent="0.25">
      <c r="A90" s="59" t="s">
        <v>557</v>
      </c>
      <c r="B90" s="60" t="s">
        <v>558</v>
      </c>
      <c r="C90" s="61" t="s">
        <v>559</v>
      </c>
      <c r="D90" s="62">
        <f>SUM(D91:D93)</f>
        <v>2046243.6978399998</v>
      </c>
      <c r="E90" s="62">
        <f>SUM(E91:E93)</f>
        <v>2009511.75</v>
      </c>
      <c r="F90" s="44"/>
    </row>
    <row r="91" spans="1:6" ht="18" customHeight="1" x14ac:dyDescent="0.25">
      <c r="A91" s="68" t="s">
        <v>560</v>
      </c>
      <c r="B91" s="100" t="s">
        <v>561</v>
      </c>
      <c r="C91" s="65"/>
      <c r="D91" s="66"/>
      <c r="E91" s="66"/>
    </row>
    <row r="92" spans="1:6" ht="18" customHeight="1" x14ac:dyDescent="0.25">
      <c r="A92" s="68" t="s">
        <v>562</v>
      </c>
      <c r="B92" s="100" t="s">
        <v>563</v>
      </c>
      <c r="C92" s="65"/>
      <c r="D92" s="66">
        <f>2046243697.84/1000</f>
        <v>2046243.6978399998</v>
      </c>
      <c r="E92" s="66">
        <v>2009511.75</v>
      </c>
    </row>
    <row r="93" spans="1:6" ht="18" customHeight="1" x14ac:dyDescent="0.25">
      <c r="A93" s="68" t="s">
        <v>564</v>
      </c>
      <c r="B93" s="100" t="s">
        <v>565</v>
      </c>
      <c r="C93" s="65"/>
      <c r="D93" s="66"/>
      <c r="E93" s="66"/>
    </row>
    <row r="94" spans="1:6" ht="18" customHeight="1" x14ac:dyDescent="0.25">
      <c r="A94" s="59" t="s">
        <v>566</v>
      </c>
      <c r="B94" s="60" t="s">
        <v>303</v>
      </c>
      <c r="C94" s="61" t="s">
        <v>567</v>
      </c>
      <c r="D94" s="62">
        <f>SUM(D95:D98)</f>
        <v>0</v>
      </c>
      <c r="E94" s="62">
        <f>SUM(E95:E98)</f>
        <v>0</v>
      </c>
      <c r="F94" s="44"/>
    </row>
    <row r="95" spans="1:6" ht="18" customHeight="1" x14ac:dyDescent="0.25">
      <c r="A95" s="68" t="s">
        <v>568</v>
      </c>
      <c r="B95" s="100" t="s">
        <v>569</v>
      </c>
      <c r="C95" s="65"/>
      <c r="D95" s="66"/>
      <c r="E95" s="66"/>
    </row>
    <row r="96" spans="1:6" ht="18" customHeight="1" x14ac:dyDescent="0.25">
      <c r="A96" s="68" t="s">
        <v>570</v>
      </c>
      <c r="B96" s="100" t="s">
        <v>571</v>
      </c>
      <c r="C96" s="65"/>
      <c r="D96" s="66"/>
      <c r="E96" s="66"/>
    </row>
    <row r="97" spans="1:6" ht="18" customHeight="1" x14ac:dyDescent="0.25">
      <c r="A97" s="68" t="s">
        <v>572</v>
      </c>
      <c r="B97" s="100" t="s">
        <v>573</v>
      </c>
      <c r="C97" s="65"/>
      <c r="D97" s="66"/>
      <c r="E97" s="66"/>
    </row>
    <row r="98" spans="1:6" s="99" customFormat="1" ht="18" customHeight="1" x14ac:dyDescent="0.25">
      <c r="A98" s="79" t="s">
        <v>574</v>
      </c>
      <c r="B98" s="56" t="s">
        <v>575</v>
      </c>
      <c r="C98" s="80"/>
      <c r="D98" s="76"/>
      <c r="E98" s="76"/>
      <c r="F98" s="98"/>
    </row>
    <row r="99" spans="1:6" ht="18" customHeight="1" x14ac:dyDescent="0.25">
      <c r="A99" s="59" t="s">
        <v>576</v>
      </c>
      <c r="B99" s="60" t="s">
        <v>577</v>
      </c>
      <c r="C99" s="61" t="s">
        <v>578</v>
      </c>
      <c r="D99" s="62">
        <f>SUM(D100:D105)</f>
        <v>2766.9319</v>
      </c>
      <c r="E99" s="62">
        <f>SUM(E100:E105)</f>
        <v>5155.79</v>
      </c>
      <c r="F99" s="44"/>
    </row>
    <row r="100" spans="1:6" ht="18" customHeight="1" x14ac:dyDescent="0.25">
      <c r="A100" s="68" t="s">
        <v>579</v>
      </c>
      <c r="B100" s="100" t="s">
        <v>580</v>
      </c>
      <c r="C100" s="65"/>
      <c r="D100" s="66">
        <f>2766931.9/1000</f>
        <v>2766.9319</v>
      </c>
      <c r="E100" s="66">
        <v>5155.79</v>
      </c>
    </row>
    <row r="101" spans="1:6" ht="18" customHeight="1" x14ac:dyDescent="0.25">
      <c r="A101" s="68" t="s">
        <v>581</v>
      </c>
      <c r="B101" s="100" t="s">
        <v>582</v>
      </c>
      <c r="C101" s="65"/>
      <c r="D101" s="66"/>
      <c r="E101" s="66"/>
    </row>
    <row r="102" spans="1:6" ht="18" customHeight="1" x14ac:dyDescent="0.25">
      <c r="A102" s="68" t="s">
        <v>583</v>
      </c>
      <c r="B102" s="100" t="s">
        <v>584</v>
      </c>
      <c r="C102" s="65"/>
      <c r="D102" s="66"/>
      <c r="E102" s="66"/>
    </row>
    <row r="103" spans="1:6" ht="18" customHeight="1" x14ac:dyDescent="0.25">
      <c r="A103" s="68" t="s">
        <v>585</v>
      </c>
      <c r="B103" s="100" t="s">
        <v>586</v>
      </c>
      <c r="C103" s="65"/>
      <c r="D103" s="66"/>
      <c r="E103" s="66"/>
    </row>
    <row r="104" spans="1:6" ht="18" customHeight="1" x14ac:dyDescent="0.25">
      <c r="A104" s="68" t="s">
        <v>587</v>
      </c>
      <c r="B104" s="100" t="s">
        <v>588</v>
      </c>
      <c r="C104" s="65"/>
      <c r="D104" s="66"/>
      <c r="E104" s="66"/>
    </row>
    <row r="105" spans="1:6" ht="18" customHeight="1" x14ac:dyDescent="0.25">
      <c r="A105" s="68" t="s">
        <v>589</v>
      </c>
      <c r="B105" s="100" t="s">
        <v>590</v>
      </c>
      <c r="C105" s="65"/>
      <c r="D105" s="66"/>
      <c r="E105" s="66"/>
    </row>
    <row r="106" spans="1:6" ht="18" customHeight="1" x14ac:dyDescent="0.25">
      <c r="A106" s="59" t="s">
        <v>591</v>
      </c>
      <c r="B106" s="60" t="s">
        <v>592</v>
      </c>
      <c r="C106" s="61" t="s">
        <v>593</v>
      </c>
      <c r="D106" s="62">
        <f>SUM(D107:D108)</f>
        <v>0</v>
      </c>
      <c r="E106" s="62">
        <f>SUM(E107:E108)</f>
        <v>0</v>
      </c>
      <c r="F106" s="44"/>
    </row>
    <row r="107" spans="1:6" ht="18" customHeight="1" x14ac:dyDescent="0.25">
      <c r="A107" s="68" t="s">
        <v>594</v>
      </c>
      <c r="B107" s="100" t="s">
        <v>595</v>
      </c>
      <c r="C107" s="65"/>
      <c r="D107" s="66"/>
      <c r="E107" s="66"/>
    </row>
    <row r="108" spans="1:6" ht="18" customHeight="1" x14ac:dyDescent="0.25">
      <c r="A108" s="68" t="s">
        <v>596</v>
      </c>
      <c r="B108" s="101" t="s">
        <v>597</v>
      </c>
      <c r="C108" s="65"/>
      <c r="D108" s="66"/>
      <c r="E108" s="66"/>
    </row>
    <row r="109" spans="1:6" ht="18" customHeight="1" x14ac:dyDescent="0.25">
      <c r="A109" s="59" t="s">
        <v>598</v>
      </c>
      <c r="B109" s="60" t="s">
        <v>599</v>
      </c>
      <c r="C109" s="61" t="s">
        <v>600</v>
      </c>
      <c r="D109" s="62">
        <f>SUM(D110:D114)</f>
        <v>0</v>
      </c>
      <c r="E109" s="62">
        <f>SUM(E110:E114)</f>
        <v>0</v>
      </c>
      <c r="F109" s="44"/>
    </row>
    <row r="110" spans="1:6" ht="18" customHeight="1" x14ac:dyDescent="0.25">
      <c r="A110" s="68" t="s">
        <v>601</v>
      </c>
      <c r="B110" s="101" t="s">
        <v>602</v>
      </c>
      <c r="C110" s="65"/>
      <c r="D110" s="66"/>
      <c r="E110" s="66"/>
    </row>
    <row r="111" spans="1:6" ht="18" customHeight="1" x14ac:dyDescent="0.25">
      <c r="A111" s="68" t="s">
        <v>603</v>
      </c>
      <c r="B111" s="101" t="s">
        <v>604</v>
      </c>
      <c r="C111" s="65"/>
      <c r="D111" s="66"/>
      <c r="E111" s="66"/>
    </row>
    <row r="112" spans="1:6" ht="24.75" customHeight="1" x14ac:dyDescent="0.25">
      <c r="A112" s="68" t="s">
        <v>605</v>
      </c>
      <c r="B112" s="100" t="s">
        <v>606</v>
      </c>
      <c r="C112" s="65"/>
      <c r="D112" s="66"/>
      <c r="E112" s="66"/>
    </row>
    <row r="113" spans="1:6" ht="18" customHeight="1" x14ac:dyDescent="0.25">
      <c r="A113" s="68" t="s">
        <v>607</v>
      </c>
      <c r="B113" s="100" t="s">
        <v>608</v>
      </c>
      <c r="C113" s="65"/>
      <c r="D113" s="66"/>
      <c r="E113" s="66"/>
    </row>
    <row r="114" spans="1:6" ht="24.75" customHeight="1" x14ac:dyDescent="0.25">
      <c r="A114" s="68" t="s">
        <v>609</v>
      </c>
      <c r="B114" s="100" t="s">
        <v>610</v>
      </c>
      <c r="C114" s="65"/>
      <c r="D114" s="66"/>
      <c r="E114" s="66"/>
    </row>
    <row r="115" spans="1:6" ht="18" customHeight="1" x14ac:dyDescent="0.25">
      <c r="A115" s="59" t="s">
        <v>611</v>
      </c>
      <c r="B115" s="60" t="s">
        <v>612</v>
      </c>
      <c r="C115" s="61" t="s">
        <v>613</v>
      </c>
      <c r="D115" s="62">
        <f>SUM(D116:D118)</f>
        <v>80490.992140000002</v>
      </c>
      <c r="E115" s="62">
        <f>SUM(E116:E118)</f>
        <v>118998.74</v>
      </c>
      <c r="F115" s="44"/>
    </row>
    <row r="116" spans="1:6" ht="18" customHeight="1" x14ac:dyDescent="0.25">
      <c r="A116" s="68" t="s">
        <v>614</v>
      </c>
      <c r="B116" s="101" t="s">
        <v>615</v>
      </c>
      <c r="C116" s="65"/>
      <c r="D116" s="66"/>
      <c r="E116" s="66"/>
    </row>
    <row r="117" spans="1:6" ht="18" customHeight="1" x14ac:dyDescent="0.25">
      <c r="A117" s="68" t="s">
        <v>616</v>
      </c>
      <c r="B117" s="101" t="s">
        <v>617</v>
      </c>
      <c r="C117" s="65"/>
      <c r="D117" s="66">
        <f>80490992.14/1000</f>
        <v>80490.992140000002</v>
      </c>
      <c r="E117" s="66">
        <v>118998.74</v>
      </c>
    </row>
    <row r="118" spans="1:6" ht="18" customHeight="1" x14ac:dyDescent="0.25">
      <c r="A118" s="68" t="s">
        <v>618</v>
      </c>
      <c r="B118" s="101" t="s">
        <v>619</v>
      </c>
      <c r="C118" s="65"/>
      <c r="D118" s="66"/>
      <c r="E118" s="66"/>
    </row>
    <row r="119" spans="1:6" ht="18" customHeight="1" x14ac:dyDescent="0.25">
      <c r="A119" s="59" t="s">
        <v>620</v>
      </c>
      <c r="B119" s="60" t="s">
        <v>621</v>
      </c>
      <c r="C119" s="61" t="s">
        <v>622</v>
      </c>
      <c r="D119" s="62">
        <f>SUM(D120:D123)</f>
        <v>0</v>
      </c>
      <c r="E119" s="62">
        <f>SUM(E120:E123)</f>
        <v>0</v>
      </c>
      <c r="F119" s="44"/>
    </row>
    <row r="120" spans="1:6" ht="18" customHeight="1" x14ac:dyDescent="0.25">
      <c r="A120" s="68" t="s">
        <v>623</v>
      </c>
      <c r="B120" s="100" t="s">
        <v>624</v>
      </c>
      <c r="C120" s="65"/>
      <c r="D120" s="66"/>
      <c r="E120" s="66"/>
    </row>
    <row r="121" spans="1:6" ht="18" customHeight="1" x14ac:dyDescent="0.25">
      <c r="A121" s="68" t="s">
        <v>625</v>
      </c>
      <c r="B121" s="100" t="s">
        <v>626</v>
      </c>
      <c r="C121" s="65"/>
      <c r="D121" s="66"/>
      <c r="E121" s="66"/>
    </row>
    <row r="122" spans="1:6" ht="18" customHeight="1" x14ac:dyDescent="0.25">
      <c r="A122" s="68" t="s">
        <v>627</v>
      </c>
      <c r="B122" s="101" t="s">
        <v>628</v>
      </c>
      <c r="C122" s="65"/>
      <c r="D122" s="66"/>
      <c r="E122" s="66"/>
    </row>
    <row r="123" spans="1:6" ht="18" customHeight="1" x14ac:dyDescent="0.25">
      <c r="A123" s="68" t="s">
        <v>629</v>
      </c>
      <c r="B123" s="100" t="s">
        <v>630</v>
      </c>
      <c r="C123" s="65"/>
      <c r="D123" s="66"/>
      <c r="E123" s="66"/>
    </row>
    <row r="124" spans="1:6" ht="24.75" customHeight="1" x14ac:dyDescent="0.25">
      <c r="A124" s="59" t="s">
        <v>631</v>
      </c>
      <c r="B124" s="60" t="s">
        <v>632</v>
      </c>
      <c r="C124" s="61" t="s">
        <v>633</v>
      </c>
      <c r="D124" s="62">
        <f>SUM(D125)</f>
        <v>89651.045079999996</v>
      </c>
      <c r="E124" s="62">
        <f>SUM(E125)</f>
        <v>12398.17</v>
      </c>
      <c r="F124" s="44"/>
    </row>
    <row r="125" spans="1:6" ht="18" customHeight="1" x14ac:dyDescent="0.25">
      <c r="A125" s="68" t="s">
        <v>634</v>
      </c>
      <c r="B125" s="100" t="s">
        <v>635</v>
      </c>
      <c r="C125" s="65"/>
      <c r="D125" s="66">
        <f>89651045.08/1000</f>
        <v>89651.045079999996</v>
      </c>
      <c r="E125" s="66">
        <v>12398.17</v>
      </c>
    </row>
    <row r="126" spans="1:6" ht="18" customHeight="1" x14ac:dyDescent="0.25">
      <c r="A126" s="68" t="s">
        <v>636</v>
      </c>
      <c r="B126" s="100" t="s">
        <v>637</v>
      </c>
      <c r="C126" s="65"/>
      <c r="D126" s="102"/>
      <c r="E126" s="102"/>
    </row>
    <row r="127" spans="1:6" ht="18" customHeight="1" x14ac:dyDescent="0.25">
      <c r="A127" s="59" t="s">
        <v>638</v>
      </c>
      <c r="B127" s="60" t="s">
        <v>639</v>
      </c>
      <c r="C127" s="61" t="s">
        <v>640</v>
      </c>
      <c r="D127" s="62">
        <f>SUM(D128)</f>
        <v>159.93701999999999</v>
      </c>
      <c r="E127" s="62">
        <f>SUM(E128)</f>
        <v>0</v>
      </c>
      <c r="F127" s="44"/>
    </row>
    <row r="128" spans="1:6" ht="18" customHeight="1" x14ac:dyDescent="0.25">
      <c r="A128" s="68" t="s">
        <v>641</v>
      </c>
      <c r="B128" s="100" t="s">
        <v>642</v>
      </c>
      <c r="C128" s="65"/>
      <c r="D128" s="66">
        <f>159937.02/1000</f>
        <v>159.93701999999999</v>
      </c>
      <c r="E128" s="66"/>
    </row>
    <row r="129" spans="1:6" ht="18" customHeight="1" x14ac:dyDescent="0.25">
      <c r="A129" s="106"/>
      <c r="B129" s="107" t="s">
        <v>643</v>
      </c>
      <c r="C129" s="82"/>
      <c r="D129" s="78">
        <f>+D127+D124+D119+D115+D109+D106+D99+D94+D90+D82+D78+D74+D71+D61+D58+D54+D51+D48+D45+D40+D37+D33+D30+D26+D22+D15+D10</f>
        <v>2219376.9437599997</v>
      </c>
      <c r="E129" s="78">
        <f>+E127+E124+E119+E115+E109+E106+E99+E94+E90+E82+E78+E74+E71+E61+E58+E54+E51+E48+E45+E40+E37+E33+E30+E26+E22+E15+E10</f>
        <v>2146089.19</v>
      </c>
    </row>
    <row r="130" spans="1:6" ht="12.75" customHeight="1" x14ac:dyDescent="0.25">
      <c r="A130" s="46"/>
      <c r="B130" s="103"/>
      <c r="C130" s="45"/>
      <c r="D130" s="44"/>
      <c r="E130" s="44"/>
    </row>
    <row r="131" spans="1:6" s="99" customFormat="1" ht="18" customHeight="1" x14ac:dyDescent="0.25">
      <c r="A131" s="97" t="s">
        <v>644</v>
      </c>
      <c r="B131" s="52" t="s">
        <v>645</v>
      </c>
      <c r="C131" s="82"/>
      <c r="D131" s="83"/>
      <c r="E131" s="83"/>
      <c r="F131" s="98"/>
    </row>
    <row r="132" spans="1:6" s="99" customFormat="1" ht="18" customHeight="1" x14ac:dyDescent="0.25">
      <c r="A132" s="79" t="s">
        <v>646</v>
      </c>
      <c r="B132" s="56" t="s">
        <v>647</v>
      </c>
      <c r="C132" s="80"/>
      <c r="D132" s="76"/>
      <c r="E132" s="76"/>
      <c r="F132" s="98"/>
    </row>
    <row r="133" spans="1:6" ht="18" customHeight="1" x14ac:dyDescent="0.25">
      <c r="A133" s="59" t="s">
        <v>648</v>
      </c>
      <c r="B133" s="60" t="s">
        <v>649</v>
      </c>
      <c r="C133" s="61" t="s">
        <v>650</v>
      </c>
      <c r="D133" s="62">
        <f>SUM(D134:D141)</f>
        <v>957234.11810999992</v>
      </c>
      <c r="E133" s="62">
        <f>SUM(E134:E141)</f>
        <v>990904.37000000011</v>
      </c>
      <c r="F133" s="44"/>
    </row>
    <row r="134" spans="1:6" ht="18" customHeight="1" x14ac:dyDescent="0.25">
      <c r="A134" s="68" t="s">
        <v>651</v>
      </c>
      <c r="B134" s="100" t="s">
        <v>652</v>
      </c>
      <c r="C134" s="65"/>
      <c r="D134" s="66">
        <f>394251715.49/1000</f>
        <v>394251.71549000003</v>
      </c>
      <c r="E134" s="66">
        <v>353529.27</v>
      </c>
    </row>
    <row r="135" spans="1:6" ht="18" customHeight="1" x14ac:dyDescent="0.25">
      <c r="A135" s="68" t="s">
        <v>653</v>
      </c>
      <c r="B135" s="100" t="s">
        <v>654</v>
      </c>
      <c r="C135" s="65"/>
      <c r="D135" s="66">
        <f>9319194.16/1000</f>
        <v>9319.1941600000009</v>
      </c>
      <c r="E135" s="66">
        <v>6068.46</v>
      </c>
    </row>
    <row r="136" spans="1:6" ht="18" customHeight="1" x14ac:dyDescent="0.25">
      <c r="A136" s="68" t="s">
        <v>655</v>
      </c>
      <c r="B136" s="100" t="s">
        <v>656</v>
      </c>
      <c r="C136" s="65"/>
      <c r="D136" s="66">
        <f>344265116.43/1000</f>
        <v>344265.11642999999</v>
      </c>
      <c r="E136" s="66">
        <v>375258</v>
      </c>
    </row>
    <row r="137" spans="1:6" ht="18" customHeight="1" x14ac:dyDescent="0.25">
      <c r="A137" s="68" t="s">
        <v>657</v>
      </c>
      <c r="B137" s="100" t="s">
        <v>658</v>
      </c>
      <c r="C137" s="65"/>
      <c r="D137" s="66">
        <f>143962210.32/1000</f>
        <v>143962.21031999998</v>
      </c>
      <c r="E137" s="66">
        <v>153810.26999999999</v>
      </c>
    </row>
    <row r="138" spans="1:6" ht="18" customHeight="1" x14ac:dyDescent="0.25">
      <c r="A138" s="68" t="s">
        <v>659</v>
      </c>
      <c r="B138" s="100" t="s">
        <v>660</v>
      </c>
      <c r="C138" s="65"/>
      <c r="D138" s="66">
        <f>65435881.71/1000</f>
        <v>65435.881710000001</v>
      </c>
      <c r="E138" s="66">
        <v>32449.68</v>
      </c>
    </row>
    <row r="139" spans="1:6" ht="18" customHeight="1" x14ac:dyDescent="0.25">
      <c r="A139" s="68" t="s">
        <v>661</v>
      </c>
      <c r="B139" s="100" t="s">
        <v>662</v>
      </c>
      <c r="C139" s="65"/>
      <c r="D139" s="66">
        <v>0</v>
      </c>
      <c r="E139" s="66">
        <v>69788.69</v>
      </c>
    </row>
    <row r="140" spans="1:6" ht="18" customHeight="1" x14ac:dyDescent="0.25">
      <c r="A140" s="73" t="s">
        <v>663</v>
      </c>
      <c r="B140" s="101" t="s">
        <v>664</v>
      </c>
      <c r="C140" s="65"/>
      <c r="D140" s="66"/>
      <c r="E140" s="66"/>
    </row>
    <row r="141" spans="1:6" ht="18" customHeight="1" x14ac:dyDescent="0.25">
      <c r="A141" s="68" t="s">
        <v>665</v>
      </c>
      <c r="B141" s="100" t="s">
        <v>666</v>
      </c>
      <c r="C141" s="65"/>
      <c r="D141" s="66"/>
      <c r="E141" s="66"/>
    </row>
    <row r="142" spans="1:6" ht="18" customHeight="1" x14ac:dyDescent="0.25">
      <c r="A142" s="59" t="s">
        <v>667</v>
      </c>
      <c r="B142" s="60" t="s">
        <v>668</v>
      </c>
      <c r="C142" s="61" t="s">
        <v>669</v>
      </c>
      <c r="D142" s="62">
        <f>SUM(D143:D151)</f>
        <v>139407.60394999999</v>
      </c>
      <c r="E142" s="62">
        <f>SUM(E143:E151)</f>
        <v>135753.96000000002</v>
      </c>
      <c r="F142" s="44"/>
    </row>
    <row r="143" spans="1:6" ht="18" customHeight="1" x14ac:dyDescent="0.25">
      <c r="A143" s="68" t="s">
        <v>670</v>
      </c>
      <c r="B143" s="100" t="s">
        <v>532</v>
      </c>
      <c r="C143" s="65"/>
      <c r="D143" s="66">
        <f>144519.27/1000</f>
        <v>144.51926999999998</v>
      </c>
      <c r="E143" s="66">
        <v>149.21</v>
      </c>
    </row>
    <row r="144" spans="1:6" ht="18" customHeight="1" x14ac:dyDescent="0.25">
      <c r="A144" s="68" t="s">
        <v>671</v>
      </c>
      <c r="B144" s="100" t="s">
        <v>672</v>
      </c>
      <c r="C144" s="65"/>
      <c r="D144" s="66">
        <f>16570231.96/1000</f>
        <v>16570.231960000001</v>
      </c>
      <c r="E144" s="66">
        <v>15774.55</v>
      </c>
    </row>
    <row r="145" spans="1:6" ht="18" customHeight="1" x14ac:dyDescent="0.25">
      <c r="A145" s="68" t="s">
        <v>673</v>
      </c>
      <c r="B145" s="100" t="s">
        <v>674</v>
      </c>
      <c r="C145" s="65"/>
      <c r="D145" s="66">
        <f>2521913.57/1000</f>
        <v>2521.9135699999997</v>
      </c>
      <c r="E145" s="66">
        <v>7598.1</v>
      </c>
    </row>
    <row r="146" spans="1:6" ht="18" customHeight="1" x14ac:dyDescent="0.25">
      <c r="A146" s="68" t="s">
        <v>675</v>
      </c>
      <c r="B146" s="100" t="s">
        <v>676</v>
      </c>
      <c r="C146" s="65"/>
      <c r="D146" s="66">
        <f>84427861.09/1000</f>
        <v>84427.861090000006</v>
      </c>
      <c r="E146" s="66">
        <v>86405.85</v>
      </c>
    </row>
    <row r="147" spans="1:6" ht="18" customHeight="1" x14ac:dyDescent="0.25">
      <c r="A147" s="68" t="s">
        <v>677</v>
      </c>
      <c r="B147" s="100" t="s">
        <v>678</v>
      </c>
      <c r="C147" s="65"/>
      <c r="D147" s="66">
        <f>1330103.1/1000</f>
        <v>1330.1031</v>
      </c>
      <c r="E147" s="66">
        <v>76.34</v>
      </c>
    </row>
    <row r="148" spans="1:6" ht="18" customHeight="1" x14ac:dyDescent="0.25">
      <c r="A148" s="68" t="s">
        <v>679</v>
      </c>
      <c r="B148" s="100" t="s">
        <v>680</v>
      </c>
      <c r="C148" s="65"/>
      <c r="D148" s="66">
        <f>6080446.04/1000</f>
        <v>6080.4460399999998</v>
      </c>
      <c r="E148" s="66">
        <v>8739.4599999999991</v>
      </c>
    </row>
    <row r="149" spans="1:6" ht="18" customHeight="1" x14ac:dyDescent="0.25">
      <c r="A149" s="68" t="s">
        <v>681</v>
      </c>
      <c r="B149" s="100" t="s">
        <v>682</v>
      </c>
      <c r="C149" s="65"/>
      <c r="D149" s="66">
        <f>446118.8/1000</f>
        <v>446.11879999999996</v>
      </c>
      <c r="E149" s="66">
        <v>3283.33</v>
      </c>
    </row>
    <row r="150" spans="1:6" ht="18" customHeight="1" x14ac:dyDescent="0.25">
      <c r="A150" s="68" t="s">
        <v>683</v>
      </c>
      <c r="B150" s="100" t="s">
        <v>684</v>
      </c>
      <c r="C150" s="65"/>
      <c r="D150" s="66">
        <f>27886410.12/1000</f>
        <v>27886.41012</v>
      </c>
      <c r="E150" s="66">
        <v>13727.12</v>
      </c>
    </row>
    <row r="151" spans="1:6" ht="18" customHeight="1" x14ac:dyDescent="0.25">
      <c r="A151" s="68" t="s">
        <v>685</v>
      </c>
      <c r="B151" s="100" t="s">
        <v>686</v>
      </c>
      <c r="C151" s="65"/>
      <c r="D151" s="66"/>
      <c r="E151" s="66"/>
    </row>
    <row r="152" spans="1:6" ht="18" customHeight="1" x14ac:dyDescent="0.25">
      <c r="A152" s="59" t="s">
        <v>687</v>
      </c>
      <c r="B152" s="60" t="s">
        <v>688</v>
      </c>
      <c r="C152" s="61" t="s">
        <v>689</v>
      </c>
      <c r="D152" s="62">
        <f>SUM(D153:D157)</f>
        <v>2391.2532099999999</v>
      </c>
      <c r="E152" s="62">
        <f>SUM(E153:E157)</f>
        <v>2286.79</v>
      </c>
      <c r="F152" s="44"/>
    </row>
    <row r="153" spans="1:6" ht="18" customHeight="1" x14ac:dyDescent="0.25">
      <c r="A153" s="68" t="s">
        <v>690</v>
      </c>
      <c r="B153" s="100" t="s">
        <v>691</v>
      </c>
      <c r="C153" s="65"/>
      <c r="D153" s="66">
        <f>737460.78/1000</f>
        <v>737.46078</v>
      </c>
      <c r="E153" s="66">
        <v>1151.95</v>
      </c>
    </row>
    <row r="154" spans="1:6" ht="18" customHeight="1" x14ac:dyDescent="0.25">
      <c r="A154" s="68" t="s">
        <v>692</v>
      </c>
      <c r="B154" s="100" t="s">
        <v>693</v>
      </c>
      <c r="C154" s="65"/>
      <c r="D154" s="66"/>
      <c r="E154" s="66"/>
    </row>
    <row r="155" spans="1:6" ht="18" customHeight="1" x14ac:dyDescent="0.25">
      <c r="A155" s="68" t="s">
        <v>694</v>
      </c>
      <c r="B155" s="100" t="s">
        <v>695</v>
      </c>
      <c r="C155" s="65"/>
      <c r="D155" s="66">
        <f>611441.88/1000</f>
        <v>611.44187999999997</v>
      </c>
      <c r="E155" s="66">
        <v>4.3899999999999997</v>
      </c>
    </row>
    <row r="156" spans="1:6" ht="18" customHeight="1" x14ac:dyDescent="0.25">
      <c r="A156" s="68" t="s">
        <v>696</v>
      </c>
      <c r="B156" s="100" t="s">
        <v>697</v>
      </c>
      <c r="C156" s="65"/>
      <c r="D156" s="66"/>
      <c r="E156" s="66"/>
    </row>
    <row r="157" spans="1:6" ht="18" customHeight="1" x14ac:dyDescent="0.25">
      <c r="A157" s="68" t="s">
        <v>698</v>
      </c>
      <c r="B157" s="100" t="s">
        <v>699</v>
      </c>
      <c r="C157" s="65"/>
      <c r="D157" s="66">
        <f>1042350.55/1000</f>
        <v>1042.3505500000001</v>
      </c>
      <c r="E157" s="66">
        <v>1130.45</v>
      </c>
    </row>
    <row r="158" spans="1:6" ht="18" customHeight="1" x14ac:dyDescent="0.25">
      <c r="A158" s="59" t="s">
        <v>700</v>
      </c>
      <c r="B158" s="60" t="s">
        <v>701</v>
      </c>
      <c r="C158" s="61" t="s">
        <v>702</v>
      </c>
      <c r="D158" s="62">
        <f>SUM(D159:D160)</f>
        <v>46624.771509999999</v>
      </c>
      <c r="E158" s="62">
        <f>SUM(E159:E160)</f>
        <v>51874.19</v>
      </c>
      <c r="F158" s="44"/>
    </row>
    <row r="159" spans="1:6" ht="18" customHeight="1" x14ac:dyDescent="0.25">
      <c r="A159" s="68" t="s">
        <v>703</v>
      </c>
      <c r="B159" s="101" t="s">
        <v>704</v>
      </c>
      <c r="C159" s="65"/>
      <c r="D159" s="66">
        <f>46624771.51/1000</f>
        <v>46624.771509999999</v>
      </c>
      <c r="E159" s="66">
        <v>51874.19</v>
      </c>
    </row>
    <row r="160" spans="1:6" ht="18" customHeight="1" x14ac:dyDescent="0.25">
      <c r="A160" s="68" t="s">
        <v>705</v>
      </c>
      <c r="B160" s="101" t="s">
        <v>706</v>
      </c>
      <c r="C160" s="65"/>
      <c r="D160" s="66"/>
      <c r="E160" s="66"/>
    </row>
    <row r="161" spans="1:6" ht="18" customHeight="1" x14ac:dyDescent="0.25">
      <c r="A161" s="59" t="s">
        <v>707</v>
      </c>
      <c r="B161" s="60" t="s">
        <v>708</v>
      </c>
      <c r="C161" s="61" t="s">
        <v>709</v>
      </c>
      <c r="D161" s="62">
        <f>SUM(D162:D163)</f>
        <v>109609.25343000001</v>
      </c>
      <c r="E161" s="62">
        <f>SUM(E162:E163)</f>
        <v>641.12</v>
      </c>
      <c r="F161" s="44"/>
    </row>
    <row r="162" spans="1:6" ht="18" customHeight="1" x14ac:dyDescent="0.25">
      <c r="A162" s="68" t="s">
        <v>710</v>
      </c>
      <c r="B162" s="101" t="s">
        <v>711</v>
      </c>
      <c r="C162" s="65"/>
      <c r="D162" s="66">
        <f>109609253.43/1000</f>
        <v>109609.25343000001</v>
      </c>
      <c r="E162" s="66">
        <v>641.12</v>
      </c>
    </row>
    <row r="163" spans="1:6" ht="18" customHeight="1" x14ac:dyDescent="0.25">
      <c r="A163" s="68" t="s">
        <v>712</v>
      </c>
      <c r="B163" s="101" t="s">
        <v>713</v>
      </c>
      <c r="C163" s="65"/>
      <c r="D163" s="66"/>
      <c r="E163" s="66"/>
    </row>
    <row r="164" spans="1:6" ht="18" customHeight="1" x14ac:dyDescent="0.25">
      <c r="A164" s="59" t="s">
        <v>714</v>
      </c>
      <c r="B164" s="60" t="s">
        <v>715</v>
      </c>
      <c r="C164" s="61" t="s">
        <v>716</v>
      </c>
      <c r="D164" s="62">
        <f>SUM(D165:D167)</f>
        <v>208.31899999999999</v>
      </c>
      <c r="E164" s="62">
        <f>SUM(E165:E167)</f>
        <v>0</v>
      </c>
      <c r="F164" s="44"/>
    </row>
    <row r="165" spans="1:6" ht="24.75" customHeight="1" x14ac:dyDescent="0.25">
      <c r="A165" s="68" t="s">
        <v>717</v>
      </c>
      <c r="B165" s="100" t="s">
        <v>718</v>
      </c>
      <c r="C165" s="65"/>
      <c r="D165" s="66">
        <f>208319/1000</f>
        <v>208.31899999999999</v>
      </c>
      <c r="E165" s="66"/>
    </row>
    <row r="166" spans="1:6" ht="18" customHeight="1" x14ac:dyDescent="0.25">
      <c r="A166" s="68" t="s">
        <v>719</v>
      </c>
      <c r="B166" s="100" t="s">
        <v>720</v>
      </c>
      <c r="C166" s="65"/>
      <c r="D166" s="66"/>
      <c r="E166" s="66"/>
    </row>
    <row r="167" spans="1:6" ht="18" customHeight="1" x14ac:dyDescent="0.25">
      <c r="A167" s="68" t="s">
        <v>721</v>
      </c>
      <c r="B167" s="100" t="s">
        <v>722</v>
      </c>
      <c r="C167" s="65"/>
      <c r="D167" s="66"/>
      <c r="E167" s="66"/>
    </row>
    <row r="168" spans="1:6" ht="18" customHeight="1" x14ac:dyDescent="0.25">
      <c r="A168" s="59" t="s">
        <v>723</v>
      </c>
      <c r="B168" s="60" t="s">
        <v>724</v>
      </c>
      <c r="C168" s="61" t="s">
        <v>725</v>
      </c>
      <c r="D168" s="62">
        <f>SUM(D169:D170)</f>
        <v>0</v>
      </c>
      <c r="E168" s="62">
        <f>SUM(E169:E170)</f>
        <v>0</v>
      </c>
      <c r="F168" s="44"/>
    </row>
    <row r="169" spans="1:6" ht="18" customHeight="1" x14ac:dyDescent="0.25">
      <c r="A169" s="68" t="s">
        <v>726</v>
      </c>
      <c r="B169" s="101" t="s">
        <v>727</v>
      </c>
      <c r="C169" s="65"/>
      <c r="D169" s="66"/>
      <c r="E169" s="66"/>
    </row>
    <row r="170" spans="1:6" ht="18" customHeight="1" x14ac:dyDescent="0.25">
      <c r="A170" s="68" t="s">
        <v>728</v>
      </c>
      <c r="B170" s="101" t="s">
        <v>729</v>
      </c>
      <c r="C170" s="65"/>
      <c r="D170" s="66"/>
      <c r="E170" s="66"/>
    </row>
    <row r="171" spans="1:6" ht="18" customHeight="1" x14ac:dyDescent="0.25">
      <c r="A171" s="59" t="s">
        <v>730</v>
      </c>
      <c r="B171" s="60" t="s">
        <v>731</v>
      </c>
      <c r="C171" s="61" t="s">
        <v>732</v>
      </c>
      <c r="D171" s="62">
        <f>SUM(D172:D176)</f>
        <v>0</v>
      </c>
      <c r="E171" s="62">
        <f>SUM(E172:E176)</f>
        <v>1055.26</v>
      </c>
      <c r="F171" s="44"/>
    </row>
    <row r="172" spans="1:6" ht="18" customHeight="1" x14ac:dyDescent="0.25">
      <c r="A172" s="68" t="s">
        <v>733</v>
      </c>
      <c r="B172" s="100" t="s">
        <v>734</v>
      </c>
      <c r="C172" s="65"/>
      <c r="D172" s="66">
        <v>0</v>
      </c>
      <c r="E172" s="66">
        <v>1055.26</v>
      </c>
    </row>
    <row r="173" spans="1:6" ht="18" customHeight="1" x14ac:dyDescent="0.25">
      <c r="A173" s="68" t="s">
        <v>735</v>
      </c>
      <c r="B173" s="100" t="s">
        <v>736</v>
      </c>
      <c r="C173" s="65"/>
      <c r="D173" s="66"/>
      <c r="E173" s="66"/>
    </row>
    <row r="174" spans="1:6" ht="18" customHeight="1" x14ac:dyDescent="0.25">
      <c r="A174" s="68" t="s">
        <v>737</v>
      </c>
      <c r="B174" s="101" t="s">
        <v>738</v>
      </c>
      <c r="C174" s="65"/>
      <c r="D174" s="66"/>
      <c r="E174" s="66"/>
    </row>
    <row r="175" spans="1:6" ht="18" customHeight="1" x14ac:dyDescent="0.25">
      <c r="A175" s="68" t="s">
        <v>739</v>
      </c>
      <c r="B175" s="100" t="s">
        <v>740</v>
      </c>
      <c r="C175" s="65"/>
      <c r="D175" s="66"/>
      <c r="E175" s="66"/>
    </row>
    <row r="176" spans="1:6" s="99" customFormat="1" ht="18" customHeight="1" x14ac:dyDescent="0.25">
      <c r="A176" s="79" t="s">
        <v>741</v>
      </c>
      <c r="B176" s="56" t="s">
        <v>742</v>
      </c>
      <c r="C176" s="80"/>
      <c r="D176" s="76"/>
      <c r="E176" s="76"/>
      <c r="F176" s="98"/>
    </row>
    <row r="177" spans="1:6" ht="18" customHeight="1" x14ac:dyDescent="0.25">
      <c r="A177" s="59" t="s">
        <v>743</v>
      </c>
      <c r="B177" s="60" t="s">
        <v>744</v>
      </c>
      <c r="C177" s="61" t="s">
        <v>745</v>
      </c>
      <c r="D177" s="62">
        <f>SUM(D178:D181)</f>
        <v>0</v>
      </c>
      <c r="E177" s="62">
        <f>SUM(E178:E181)</f>
        <v>0</v>
      </c>
      <c r="F177" s="44"/>
    </row>
    <row r="178" spans="1:6" ht="18" customHeight="1" x14ac:dyDescent="0.25">
      <c r="A178" s="68" t="s">
        <v>746</v>
      </c>
      <c r="B178" s="100" t="s">
        <v>747</v>
      </c>
      <c r="C178" s="65"/>
      <c r="D178" s="66"/>
      <c r="E178" s="66"/>
    </row>
    <row r="179" spans="1:6" ht="18" customHeight="1" x14ac:dyDescent="0.25">
      <c r="A179" s="68" t="s">
        <v>748</v>
      </c>
      <c r="B179" s="100" t="s">
        <v>749</v>
      </c>
      <c r="C179" s="65"/>
      <c r="D179" s="66"/>
      <c r="E179" s="66"/>
    </row>
    <row r="180" spans="1:6" ht="18" customHeight="1" x14ac:dyDescent="0.25">
      <c r="A180" s="68" t="s">
        <v>750</v>
      </c>
      <c r="B180" s="100" t="s">
        <v>751</v>
      </c>
      <c r="C180" s="65"/>
      <c r="D180" s="66"/>
      <c r="E180" s="66"/>
    </row>
    <row r="181" spans="1:6" ht="18" customHeight="1" x14ac:dyDescent="0.25">
      <c r="A181" s="68" t="s">
        <v>752</v>
      </c>
      <c r="B181" s="100" t="s">
        <v>753</v>
      </c>
      <c r="C181" s="65"/>
      <c r="D181" s="66"/>
      <c r="E181" s="66"/>
    </row>
    <row r="182" spans="1:6" ht="18" customHeight="1" x14ac:dyDescent="0.25">
      <c r="A182" s="59" t="s">
        <v>754</v>
      </c>
      <c r="B182" s="60" t="s">
        <v>755</v>
      </c>
      <c r="C182" s="61" t="s">
        <v>756</v>
      </c>
      <c r="D182" s="62">
        <f>SUM(D183:D188)</f>
        <v>0</v>
      </c>
      <c r="E182" s="62">
        <f>SUM(E183:E188)</f>
        <v>0</v>
      </c>
      <c r="F182" s="44"/>
    </row>
    <row r="183" spans="1:6" ht="18" customHeight="1" x14ac:dyDescent="0.25">
      <c r="A183" s="68" t="s">
        <v>757</v>
      </c>
      <c r="B183" s="100" t="s">
        <v>758</v>
      </c>
      <c r="C183" s="65"/>
      <c r="D183" s="66"/>
      <c r="E183" s="66"/>
    </row>
    <row r="184" spans="1:6" ht="18" customHeight="1" x14ac:dyDescent="0.25">
      <c r="A184" s="68" t="s">
        <v>759</v>
      </c>
      <c r="B184" s="101" t="s">
        <v>760</v>
      </c>
      <c r="C184" s="65"/>
      <c r="D184" s="66"/>
      <c r="E184" s="66"/>
    </row>
    <row r="185" spans="1:6" ht="18" customHeight="1" x14ac:dyDescent="0.25">
      <c r="A185" s="68" t="s">
        <v>761</v>
      </c>
      <c r="B185" s="100" t="s">
        <v>762</v>
      </c>
      <c r="C185" s="65"/>
      <c r="D185" s="66"/>
      <c r="E185" s="66"/>
    </row>
    <row r="186" spans="1:6" ht="18" customHeight="1" x14ac:dyDescent="0.25">
      <c r="A186" s="68" t="s">
        <v>763</v>
      </c>
      <c r="B186" s="100" t="s">
        <v>764</v>
      </c>
      <c r="C186" s="65"/>
      <c r="D186" s="66"/>
      <c r="E186" s="66"/>
    </row>
    <row r="187" spans="1:6" ht="18" customHeight="1" x14ac:dyDescent="0.25">
      <c r="A187" s="68" t="s">
        <v>765</v>
      </c>
      <c r="B187" s="100" t="s">
        <v>766</v>
      </c>
      <c r="C187" s="65"/>
      <c r="D187" s="66"/>
      <c r="E187" s="66"/>
    </row>
    <row r="188" spans="1:6" s="99" customFormat="1" ht="18" customHeight="1" x14ac:dyDescent="0.25">
      <c r="A188" s="79" t="s">
        <v>767</v>
      </c>
      <c r="B188" s="56" t="s">
        <v>768</v>
      </c>
      <c r="C188" s="80"/>
      <c r="D188" s="76"/>
      <c r="E188" s="76"/>
      <c r="F188" s="98"/>
    </row>
    <row r="189" spans="1:6" ht="18" customHeight="1" x14ac:dyDescent="0.25">
      <c r="A189" s="59" t="s">
        <v>769</v>
      </c>
      <c r="B189" s="60" t="s">
        <v>770</v>
      </c>
      <c r="C189" s="61" t="s">
        <v>771</v>
      </c>
      <c r="D189" s="62">
        <f>SUM(D190:D191)</f>
        <v>0</v>
      </c>
      <c r="E189" s="62">
        <f>SUM(E190:E191)</f>
        <v>0</v>
      </c>
      <c r="F189" s="44"/>
    </row>
    <row r="190" spans="1:6" ht="18" customHeight="1" x14ac:dyDescent="0.25">
      <c r="A190" s="68" t="s">
        <v>772</v>
      </c>
      <c r="B190" s="100" t="s">
        <v>773</v>
      </c>
      <c r="C190" s="65"/>
      <c r="D190" s="66"/>
      <c r="E190" s="66"/>
    </row>
    <row r="191" spans="1:6" ht="18" customHeight="1" x14ac:dyDescent="0.25">
      <c r="A191" s="68" t="s">
        <v>774</v>
      </c>
      <c r="B191" s="100" t="s">
        <v>775</v>
      </c>
      <c r="C191" s="65"/>
      <c r="D191" s="66"/>
      <c r="E191" s="66"/>
    </row>
    <row r="192" spans="1:6" ht="18" customHeight="1" x14ac:dyDescent="0.25">
      <c r="A192" s="59" t="s">
        <v>776</v>
      </c>
      <c r="B192" s="60" t="s">
        <v>777</v>
      </c>
      <c r="C192" s="61" t="s">
        <v>778</v>
      </c>
      <c r="D192" s="62">
        <f>SUM(D193:D194)</f>
        <v>0</v>
      </c>
      <c r="E192" s="62">
        <f>SUM(E193:E194)</f>
        <v>0</v>
      </c>
      <c r="F192" s="44"/>
    </row>
    <row r="193" spans="1:6" ht="18" customHeight="1" x14ac:dyDescent="0.25">
      <c r="A193" s="68" t="s">
        <v>779</v>
      </c>
      <c r="B193" s="100" t="s">
        <v>780</v>
      </c>
      <c r="C193" s="65"/>
      <c r="D193" s="66"/>
      <c r="E193" s="66"/>
    </row>
    <row r="194" spans="1:6" ht="18" customHeight="1" x14ac:dyDescent="0.25">
      <c r="A194" s="68" t="s">
        <v>781</v>
      </c>
      <c r="B194" s="100" t="s">
        <v>782</v>
      </c>
      <c r="C194" s="65"/>
      <c r="D194" s="66"/>
      <c r="E194" s="66"/>
    </row>
    <row r="195" spans="1:6" ht="18" customHeight="1" x14ac:dyDescent="0.25">
      <c r="A195" s="59" t="s">
        <v>783</v>
      </c>
      <c r="B195" s="60" t="s">
        <v>784</v>
      </c>
      <c r="C195" s="61" t="s">
        <v>785</v>
      </c>
      <c r="D195" s="62">
        <f>SUM(D196:D203)</f>
        <v>0</v>
      </c>
      <c r="E195" s="62">
        <f>SUM(E196:E203)</f>
        <v>0</v>
      </c>
      <c r="F195" s="44"/>
    </row>
    <row r="196" spans="1:6" ht="18" customHeight="1" x14ac:dyDescent="0.25">
      <c r="A196" s="68" t="s">
        <v>786</v>
      </c>
      <c r="B196" s="100" t="s">
        <v>787</v>
      </c>
      <c r="C196" s="65"/>
      <c r="D196" s="66"/>
      <c r="E196" s="66"/>
    </row>
    <row r="197" spans="1:6" ht="18" customHeight="1" x14ac:dyDescent="0.25">
      <c r="A197" s="68" t="s">
        <v>788</v>
      </c>
      <c r="B197" s="100" t="s">
        <v>789</v>
      </c>
      <c r="C197" s="65"/>
      <c r="D197" s="66"/>
      <c r="E197" s="66"/>
    </row>
    <row r="198" spans="1:6" ht="18" customHeight="1" x14ac:dyDescent="0.25">
      <c r="A198" s="68" t="s">
        <v>790</v>
      </c>
      <c r="B198" s="100" t="s">
        <v>791</v>
      </c>
      <c r="C198" s="65"/>
      <c r="D198" s="66"/>
      <c r="E198" s="66"/>
    </row>
    <row r="199" spans="1:6" ht="18" customHeight="1" x14ac:dyDescent="0.25">
      <c r="A199" s="68" t="s">
        <v>792</v>
      </c>
      <c r="B199" s="100" t="s">
        <v>793</v>
      </c>
      <c r="C199" s="65"/>
      <c r="D199" s="66"/>
      <c r="E199" s="66"/>
    </row>
    <row r="200" spans="1:6" ht="18" customHeight="1" x14ac:dyDescent="0.25">
      <c r="A200" s="68" t="s">
        <v>794</v>
      </c>
      <c r="B200" s="100" t="s">
        <v>795</v>
      </c>
      <c r="C200" s="65"/>
      <c r="D200" s="66"/>
      <c r="E200" s="66"/>
    </row>
    <row r="201" spans="1:6" ht="18" customHeight="1" x14ac:dyDescent="0.25">
      <c r="A201" s="68" t="s">
        <v>796</v>
      </c>
      <c r="B201" s="100" t="s">
        <v>797</v>
      </c>
      <c r="C201" s="65"/>
      <c r="D201" s="66"/>
      <c r="E201" s="66"/>
    </row>
    <row r="202" spans="1:6" ht="18" customHeight="1" x14ac:dyDescent="0.25">
      <c r="A202" s="68" t="s">
        <v>798</v>
      </c>
      <c r="B202" s="100" t="s">
        <v>799</v>
      </c>
      <c r="C202" s="65"/>
      <c r="D202" s="66"/>
      <c r="E202" s="66"/>
    </row>
    <row r="203" spans="1:6" s="99" customFormat="1" ht="18" customHeight="1" x14ac:dyDescent="0.25">
      <c r="A203" s="79" t="s">
        <v>800</v>
      </c>
      <c r="B203" s="56" t="s">
        <v>556</v>
      </c>
      <c r="C203" s="80"/>
      <c r="D203" s="76"/>
      <c r="E203" s="76"/>
      <c r="F203" s="98"/>
    </row>
    <row r="204" spans="1:6" ht="18" customHeight="1" x14ac:dyDescent="0.25">
      <c r="A204" s="59" t="s">
        <v>801</v>
      </c>
      <c r="B204" s="60" t="s">
        <v>558</v>
      </c>
      <c r="C204" s="61" t="s">
        <v>802</v>
      </c>
      <c r="D204" s="62">
        <f>SUM(D205:D207)</f>
        <v>678371.15478999994</v>
      </c>
      <c r="E204" s="62">
        <f>SUM(E205:E207)</f>
        <v>899646.40999999992</v>
      </c>
      <c r="F204" s="44"/>
    </row>
    <row r="205" spans="1:6" ht="18" customHeight="1" x14ac:dyDescent="0.25">
      <c r="A205" s="68" t="s">
        <v>803</v>
      </c>
      <c r="B205" s="101" t="s">
        <v>804</v>
      </c>
      <c r="C205" s="65"/>
      <c r="D205" s="66">
        <f>281487535.63/1000</f>
        <v>281487.53563</v>
      </c>
      <c r="E205" s="66">
        <v>609929.61</v>
      </c>
    </row>
    <row r="206" spans="1:6" ht="18" customHeight="1" x14ac:dyDescent="0.25">
      <c r="A206" s="68" t="s">
        <v>805</v>
      </c>
      <c r="B206" s="100" t="s">
        <v>806</v>
      </c>
      <c r="C206" s="65"/>
      <c r="D206" s="66">
        <f>392501174.16/1000</f>
        <v>392501.17416000005</v>
      </c>
      <c r="E206" s="66">
        <v>283850.55</v>
      </c>
    </row>
    <row r="207" spans="1:6" ht="18" customHeight="1" x14ac:dyDescent="0.25">
      <c r="A207" s="68" t="s">
        <v>807</v>
      </c>
      <c r="B207" s="100" t="s">
        <v>808</v>
      </c>
      <c r="C207" s="65"/>
      <c r="D207" s="66">
        <f>4382445/1000</f>
        <v>4382.4449999999997</v>
      </c>
      <c r="E207" s="66">
        <v>5866.25</v>
      </c>
    </row>
    <row r="208" spans="1:6" ht="18" customHeight="1" x14ac:dyDescent="0.25">
      <c r="A208" s="59" t="s">
        <v>809</v>
      </c>
      <c r="B208" s="60" t="s">
        <v>303</v>
      </c>
      <c r="C208" s="61" t="s">
        <v>810</v>
      </c>
      <c r="D208" s="62">
        <f>SUM(D209:D212)</f>
        <v>0</v>
      </c>
      <c r="E208" s="62">
        <f>SUM(E209:E212)</f>
        <v>37771.9</v>
      </c>
      <c r="F208" s="44"/>
    </row>
    <row r="209" spans="1:6" ht="18" customHeight="1" x14ac:dyDescent="0.25">
      <c r="A209" s="68" t="s">
        <v>811</v>
      </c>
      <c r="B209" s="101" t="s">
        <v>812</v>
      </c>
      <c r="C209" s="65"/>
      <c r="D209" s="66">
        <v>0</v>
      </c>
      <c r="E209" s="66">
        <v>37771.9</v>
      </c>
    </row>
    <row r="210" spans="1:6" ht="18" customHeight="1" x14ac:dyDescent="0.25">
      <c r="A210" s="68" t="s">
        <v>813</v>
      </c>
      <c r="B210" s="100" t="s">
        <v>814</v>
      </c>
      <c r="C210" s="65"/>
      <c r="D210" s="66"/>
      <c r="E210" s="66"/>
    </row>
    <row r="211" spans="1:6" ht="18" customHeight="1" x14ac:dyDescent="0.25">
      <c r="A211" s="68" t="s">
        <v>815</v>
      </c>
      <c r="B211" s="100" t="s">
        <v>816</v>
      </c>
      <c r="C211" s="65"/>
      <c r="D211" s="66"/>
      <c r="E211" s="66"/>
    </row>
    <row r="212" spans="1:6" s="99" customFormat="1" ht="18" customHeight="1" x14ac:dyDescent="0.25">
      <c r="A212" s="79" t="s">
        <v>817</v>
      </c>
      <c r="B212" s="56" t="s">
        <v>818</v>
      </c>
      <c r="C212" s="80"/>
      <c r="D212" s="76"/>
      <c r="E212" s="76"/>
      <c r="F212" s="98"/>
    </row>
    <row r="213" spans="1:6" ht="18" customHeight="1" x14ac:dyDescent="0.25">
      <c r="A213" s="59" t="s">
        <v>819</v>
      </c>
      <c r="B213" s="60" t="s">
        <v>820</v>
      </c>
      <c r="C213" s="61" t="s">
        <v>821</v>
      </c>
      <c r="D213" s="62">
        <f>SUM(D214:D219)</f>
        <v>6160.06268</v>
      </c>
      <c r="E213" s="62">
        <f>SUM(E214:E219)</f>
        <v>1586.11</v>
      </c>
      <c r="F213" s="44"/>
    </row>
    <row r="214" spans="1:6" ht="18" customHeight="1" x14ac:dyDescent="0.25">
      <c r="A214" s="68" t="s">
        <v>822</v>
      </c>
      <c r="B214" s="100" t="s">
        <v>823</v>
      </c>
      <c r="C214" s="65"/>
      <c r="D214" s="66">
        <f>6160062.68/1000</f>
        <v>6160.06268</v>
      </c>
      <c r="E214" s="66">
        <v>1586.11</v>
      </c>
    </row>
    <row r="215" spans="1:6" ht="18" customHeight="1" x14ac:dyDescent="0.25">
      <c r="A215" s="68" t="s">
        <v>824</v>
      </c>
      <c r="B215" s="100" t="s">
        <v>825</v>
      </c>
      <c r="C215" s="65"/>
      <c r="D215" s="66"/>
      <c r="E215" s="66"/>
    </row>
    <row r="216" spans="1:6" ht="18" customHeight="1" x14ac:dyDescent="0.25">
      <c r="A216" s="68" t="s">
        <v>826</v>
      </c>
      <c r="B216" s="100" t="s">
        <v>827</v>
      </c>
      <c r="C216" s="65"/>
      <c r="D216" s="66"/>
      <c r="E216" s="66"/>
    </row>
    <row r="217" spans="1:6" ht="18" customHeight="1" x14ac:dyDescent="0.25">
      <c r="A217" s="68" t="s">
        <v>828</v>
      </c>
      <c r="B217" s="100" t="s">
        <v>829</v>
      </c>
      <c r="C217" s="65"/>
      <c r="D217" s="66"/>
      <c r="E217" s="66"/>
    </row>
    <row r="218" spans="1:6" ht="18" customHeight="1" x14ac:dyDescent="0.25">
      <c r="A218" s="68" t="s">
        <v>830</v>
      </c>
      <c r="B218" s="100" t="s">
        <v>831</v>
      </c>
      <c r="C218" s="65"/>
      <c r="D218" s="66"/>
      <c r="E218" s="66"/>
    </row>
    <row r="219" spans="1:6" ht="18" customHeight="1" x14ac:dyDescent="0.25">
      <c r="A219" s="68" t="s">
        <v>832</v>
      </c>
      <c r="B219" s="100" t="s">
        <v>833</v>
      </c>
      <c r="C219" s="65"/>
      <c r="D219" s="66"/>
      <c r="E219" s="66"/>
    </row>
    <row r="220" spans="1:6" ht="24" customHeight="1" x14ac:dyDescent="0.25">
      <c r="A220" s="59" t="s">
        <v>834</v>
      </c>
      <c r="B220" s="60" t="s">
        <v>835</v>
      </c>
      <c r="C220" s="61" t="s">
        <v>836</v>
      </c>
      <c r="D220" s="62">
        <f>SUM(D221:D222)</f>
        <v>158396.78590000002</v>
      </c>
      <c r="E220" s="62">
        <f>SUM(E221:E222)</f>
        <v>186593.11</v>
      </c>
      <c r="F220" s="44"/>
    </row>
    <row r="221" spans="1:6" ht="18" customHeight="1" x14ac:dyDescent="0.25">
      <c r="A221" s="68" t="s">
        <v>837</v>
      </c>
      <c r="B221" s="100" t="s">
        <v>838</v>
      </c>
      <c r="C221" s="65"/>
      <c r="D221" s="66">
        <f>157770805.9/1000</f>
        <v>157770.80590000001</v>
      </c>
      <c r="E221" s="66">
        <v>186593.11</v>
      </c>
    </row>
    <row r="222" spans="1:6" ht="18" customHeight="1" x14ac:dyDescent="0.25">
      <c r="A222" s="68" t="s">
        <v>839</v>
      </c>
      <c r="B222" s="100" t="s">
        <v>840</v>
      </c>
      <c r="C222" s="65"/>
      <c r="D222" s="66">
        <f>625980/1000</f>
        <v>625.98</v>
      </c>
      <c r="E222" s="66"/>
    </row>
    <row r="223" spans="1:6" ht="18" customHeight="1" x14ac:dyDescent="0.25">
      <c r="A223" s="59" t="s">
        <v>841</v>
      </c>
      <c r="B223" s="60" t="s">
        <v>842</v>
      </c>
      <c r="C223" s="61" t="s">
        <v>843</v>
      </c>
      <c r="D223" s="62">
        <f>SUM(D224:D226)</f>
        <v>1000.7974</v>
      </c>
      <c r="E223" s="62">
        <f>SUM(E224:E226)</f>
        <v>636</v>
      </c>
      <c r="F223" s="44"/>
    </row>
    <row r="224" spans="1:6" ht="18" customHeight="1" x14ac:dyDescent="0.25">
      <c r="A224" s="68" t="s">
        <v>844</v>
      </c>
      <c r="B224" s="100" t="s">
        <v>845</v>
      </c>
      <c r="C224" s="65"/>
      <c r="D224" s="66"/>
      <c r="E224" s="66"/>
    </row>
    <row r="225" spans="1:6" ht="18" customHeight="1" x14ac:dyDescent="0.25">
      <c r="A225" s="68" t="s">
        <v>846</v>
      </c>
      <c r="B225" s="100" t="s">
        <v>847</v>
      </c>
      <c r="C225" s="65"/>
      <c r="D225" s="66"/>
      <c r="E225" s="66"/>
    </row>
    <row r="226" spans="1:6" ht="18" customHeight="1" x14ac:dyDescent="0.25">
      <c r="A226" s="68" t="s">
        <v>848</v>
      </c>
      <c r="B226" s="100" t="s">
        <v>849</v>
      </c>
      <c r="C226" s="65"/>
      <c r="D226" s="66">
        <f>1000797.4/1000</f>
        <v>1000.7974</v>
      </c>
      <c r="E226" s="66">
        <v>636</v>
      </c>
    </row>
    <row r="227" spans="1:6" ht="18" customHeight="1" x14ac:dyDescent="0.25">
      <c r="A227" s="106"/>
      <c r="B227" s="107" t="s">
        <v>850</v>
      </c>
      <c r="C227" s="82"/>
      <c r="D227" s="78">
        <f>+D223+D220+D213+D208+D204+D195+D192+D189+D182+D177+D171+D168+D164+D161+D158+D152+D142+D133</f>
        <v>2099404.11998</v>
      </c>
      <c r="E227" s="78">
        <f>+E223+E220+E213+E208+E204+E195+E192+E189+E182+E177+E171+E168+E164+E161+E158+E152+E142+E133</f>
        <v>2308749.2199999997</v>
      </c>
    </row>
    <row r="228" spans="1:6" ht="18" customHeight="1" x14ac:dyDescent="0.25">
      <c r="A228" s="108"/>
      <c r="B228" s="104" t="s">
        <v>851</v>
      </c>
      <c r="C228" s="105"/>
      <c r="D228" s="109">
        <f>+D129-D227</f>
        <v>119972.82377999974</v>
      </c>
      <c r="E228" s="109">
        <f>+E129-E227</f>
        <v>-162660.0299999998</v>
      </c>
    </row>
    <row r="229" spans="1:6" ht="12.75" customHeight="1" x14ac:dyDescent="0.25">
      <c r="C229" s="45"/>
      <c r="D229" s="44">
        <f>+D228-BalanceGeneral_Situacion!D168</f>
        <v>0</v>
      </c>
      <c r="E229" s="44">
        <f>+E228-BalanceGeneral_Situacion!E168</f>
        <v>0</v>
      </c>
    </row>
    <row r="230" spans="1:6" ht="12.75" customHeight="1" x14ac:dyDescent="0.25">
      <c r="C230" s="45"/>
    </row>
    <row r="231" spans="1:6" ht="12.75" customHeight="1" x14ac:dyDescent="0.25">
      <c r="C231" s="45"/>
    </row>
    <row r="232" spans="1:6" ht="18" customHeight="1" x14ac:dyDescent="0.25">
      <c r="B232" s="35"/>
      <c r="C232" s="84"/>
      <c r="D232" s="38"/>
      <c r="E232" s="38"/>
      <c r="F232" s="38"/>
    </row>
    <row r="233" spans="1:6" ht="18" customHeight="1" x14ac:dyDescent="0.25">
      <c r="B233" s="35"/>
      <c r="C233" s="84"/>
      <c r="D233" s="38"/>
      <c r="E233" s="38"/>
      <c r="F233" s="38"/>
    </row>
    <row r="234" spans="1:6" ht="18" customHeight="1" x14ac:dyDescent="0.25">
      <c r="B234" s="35"/>
      <c r="C234" s="84"/>
      <c r="D234" s="38"/>
      <c r="E234" s="38"/>
      <c r="F234" s="38"/>
    </row>
    <row r="235" spans="1:6" ht="18" customHeight="1" x14ac:dyDescent="0.25">
      <c r="B235" s="85" t="s">
        <v>1580</v>
      </c>
      <c r="C235" s="15"/>
      <c r="D235" s="38"/>
      <c r="E235" s="38"/>
      <c r="F235" s="38"/>
    </row>
    <row r="236" spans="1:6" ht="18" customHeight="1" x14ac:dyDescent="0.25">
      <c r="B236" s="41"/>
      <c r="C236" s="45"/>
      <c r="D236" s="38"/>
      <c r="E236" s="38"/>
      <c r="F236" s="38"/>
    </row>
    <row r="237" spans="1:6" ht="18" customHeight="1" x14ac:dyDescent="0.25">
      <c r="B237" s="35"/>
      <c r="C237" s="84"/>
      <c r="D237" s="38"/>
      <c r="E237" s="38"/>
      <c r="F237" s="38"/>
    </row>
    <row r="238" spans="1:6" ht="18" customHeight="1" x14ac:dyDescent="0.25">
      <c r="B238" s="35"/>
      <c r="C238" s="84"/>
      <c r="D238" s="38"/>
      <c r="E238" s="38"/>
      <c r="F238" s="38"/>
    </row>
    <row r="239" spans="1:6" ht="18" customHeight="1" x14ac:dyDescent="0.25">
      <c r="B239" s="35"/>
      <c r="C239" s="84"/>
      <c r="D239" s="38"/>
      <c r="E239" s="38"/>
      <c r="F239" s="38"/>
    </row>
    <row r="240" spans="1:6" ht="18" customHeight="1" x14ac:dyDescent="0.25">
      <c r="B240" s="85" t="s">
        <v>1581</v>
      </c>
      <c r="C240" s="15"/>
      <c r="D240" s="38"/>
      <c r="E240" s="38"/>
      <c r="F240" s="38"/>
    </row>
    <row r="241" spans="2:6" ht="18" customHeight="1" x14ac:dyDescent="0.25">
      <c r="B241" s="41"/>
      <c r="C241" s="45"/>
      <c r="D241" s="38"/>
      <c r="E241" s="38"/>
      <c r="F241" s="38"/>
    </row>
    <row r="242" spans="2:6" ht="18" customHeight="1" x14ac:dyDescent="0.25">
      <c r="B242" s="35"/>
      <c r="C242" s="45"/>
      <c r="D242" s="38"/>
      <c r="E242" s="38"/>
      <c r="F242" s="38"/>
    </row>
    <row r="243" spans="2:6" ht="18" customHeight="1" x14ac:dyDescent="0.25">
      <c r="B243" s="35"/>
      <c r="C243" s="45"/>
      <c r="D243" s="38"/>
      <c r="E243" s="38"/>
      <c r="F243" s="38"/>
    </row>
    <row r="244" spans="2:6" ht="18" customHeight="1" x14ac:dyDescent="0.25">
      <c r="B244" s="35"/>
      <c r="C244" s="45"/>
      <c r="D244" s="38"/>
      <c r="E244" s="38"/>
      <c r="F244" s="38"/>
    </row>
    <row r="245" spans="2:6" ht="18" customHeight="1" x14ac:dyDescent="0.25">
      <c r="B245" s="85" t="s">
        <v>1582</v>
      </c>
      <c r="C245" s="45"/>
      <c r="D245" s="38"/>
      <c r="E245" s="38"/>
      <c r="F245" s="38"/>
    </row>
    <row r="246" spans="2:6" ht="12.75" customHeight="1" x14ac:dyDescent="0.25">
      <c r="C246" s="45"/>
    </row>
    <row r="247" spans="2:6" ht="12.75" customHeight="1" x14ac:dyDescent="0.25">
      <c r="C247" s="45"/>
    </row>
    <row r="248" spans="2:6" ht="12.75" customHeight="1" x14ac:dyDescent="0.25">
      <c r="C248" s="45"/>
    </row>
    <row r="249" spans="2:6" ht="12.75" customHeight="1" x14ac:dyDescent="0.25">
      <c r="C249" s="45"/>
    </row>
    <row r="250" spans="2:6" ht="12.75" customHeight="1" x14ac:dyDescent="0.25">
      <c r="C250" s="45"/>
    </row>
    <row r="251" spans="2:6" ht="12.75" customHeight="1" x14ac:dyDescent="0.25">
      <c r="C251" s="45"/>
    </row>
    <row r="252" spans="2:6" ht="12.75" customHeight="1" x14ac:dyDescent="0.25">
      <c r="C252" s="45"/>
    </row>
  </sheetData>
  <protectedRanges>
    <protectedRange sqref="D134:E141 D143:E151 D153:E157 D159:E160 D163:E163 D165:E167 D169:E170 D172:E176 D178:E181 D183:E188 D190:E191 D193:E194 D196:E203 D205:E207 D209:E212 D214:E219 D221:E222 D224:E226" name="Rango2"/>
    <protectedRange sqref="D11:E12 D16:E21 D23:E25 D27:E29 D31:E32 D34:E36 D38:E39 D41:E44 D46:E47 D49:E50 D52:E53 D55:E57 D59:E60 D62:E70 D72:E73 D75:E77 D79:E81 D83:E89 D91:E93 D95:E98 D100:E105 D107:E108 D110:E114 D116:E118 D120:E123 D125:E126 D128:E128 D14:E14 D13" name="Rango1"/>
    <protectedRange sqref="B237:C237 A232:F232 B242" name="Rango2_1"/>
    <protectedRange sqref="E13" name="Rango1_1"/>
  </protectedRanges>
  <mergeCells count="4">
    <mergeCell ref="A4:E4"/>
    <mergeCell ref="A1:E1"/>
    <mergeCell ref="A2:E2"/>
    <mergeCell ref="A3:E3"/>
  </mergeCells>
  <pageMargins left="0.70866141732283472" right="0.70866141732283472" top="0.94488188976377963" bottom="0.74803149606299213" header="0.31496062992125984" footer="0.31496062992125984"/>
  <pageSetup paperSize="9" scale="70" orientation="portrait" r:id="rId1"/>
  <rowBreaks count="3" manualBreakCount="3">
    <brk id="57" max="4" man="1"/>
    <brk id="108" max="4" man="1"/>
    <brk id="16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Balance Comprobación</vt:lpstr>
      <vt:lpstr>Estado_Ejecucion_Presupuestaria</vt:lpstr>
      <vt:lpstr>BalanceGeneral_Situacion</vt:lpstr>
      <vt:lpstr>CambiosPatrimonioNeto</vt:lpstr>
      <vt:lpstr>FlujoEfectivo</vt:lpstr>
      <vt:lpstr>DeudaPublica</vt:lpstr>
      <vt:lpstr>EstadoSituacionEvolucionBienes</vt:lpstr>
      <vt:lpstr>EstadoFinancieroSegmentos</vt:lpstr>
      <vt:lpstr>EstadoResultados_Rendimiento</vt:lpstr>
      <vt:lpstr>Data</vt:lpstr>
      <vt:lpstr>BalanceGeneral_Situacion!Área_de_impresión</vt:lpstr>
      <vt:lpstr>EstadoFinancieroSegmentos!Área_de_impresión</vt:lpstr>
      <vt:lpstr>EstadoResultados_Rendimiento!Área_de_impresión</vt:lpstr>
      <vt:lpstr>EstadoSituacionEvolucionBienes!Área_de_impresión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2020-02-24T19:38:07Z</dcterms:modified>
</cp:coreProperties>
</file>