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050" activeTab="2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externalReferences>
    <externalReference r:id="rId6"/>
  </externalReference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I23" i="5" l="1"/>
  <c r="I20" i="5"/>
  <c r="I18" i="5"/>
  <c r="I17" i="5"/>
  <c r="I16" i="5"/>
  <c r="P48" i="5" l="1"/>
  <c r="C49" i="5"/>
  <c r="C48" i="5"/>
  <c r="P23" i="5"/>
  <c r="P21" i="5"/>
  <c r="P20" i="5"/>
  <c r="P19" i="5"/>
  <c r="P18" i="5"/>
  <c r="P17" i="5"/>
  <c r="P16" i="5"/>
  <c r="P15" i="5"/>
  <c r="P14" i="5"/>
  <c r="P13" i="5"/>
  <c r="F17" i="5"/>
  <c r="F13" i="5"/>
  <c r="E15" i="5"/>
  <c r="E17" i="5"/>
  <c r="E13" i="5"/>
  <c r="E12" i="5"/>
  <c r="C23" i="5"/>
  <c r="C21" i="5"/>
  <c r="C20" i="5"/>
  <c r="C19" i="5"/>
  <c r="C18" i="5"/>
  <c r="C17" i="5"/>
  <c r="C16" i="5"/>
  <c r="C15" i="5"/>
  <c r="C14" i="5"/>
  <c r="C13" i="5"/>
  <c r="C12" i="5"/>
  <c r="E221" i="3" l="1"/>
  <c r="E214" i="3"/>
  <c r="E206" i="3"/>
  <c r="E205" i="3"/>
  <c r="E159" i="3"/>
  <c r="E157" i="3"/>
  <c r="E155" i="3"/>
  <c r="E153" i="3"/>
  <c r="E150" i="3"/>
  <c r="E148" i="3"/>
  <c r="E147" i="3"/>
  <c r="E146" i="3"/>
  <c r="E145" i="3"/>
  <c r="E144" i="3"/>
  <c r="E143" i="3"/>
  <c r="E138" i="3"/>
  <c r="E137" i="3"/>
  <c r="E136" i="3"/>
  <c r="E135" i="3"/>
  <c r="E134" i="3"/>
  <c r="E125" i="3"/>
  <c r="E100" i="3"/>
  <c r="E92" i="3"/>
  <c r="E75" i="3"/>
  <c r="E159" i="1"/>
  <c r="E154" i="1"/>
  <c r="E153" i="1"/>
  <c r="E121" i="1"/>
  <c r="E119" i="1"/>
  <c r="E114" i="1"/>
  <c r="E113" i="1"/>
  <c r="E95" i="1"/>
  <c r="E94" i="1"/>
  <c r="E87" i="1"/>
  <c r="E83" i="1"/>
  <c r="E70" i="1"/>
  <c r="E63" i="1"/>
  <c r="E43" i="1"/>
  <c r="E42" i="1"/>
  <c r="E36" i="1"/>
  <c r="E34" i="1"/>
  <c r="E33" i="1"/>
  <c r="E27" i="1"/>
  <c r="E25" i="1"/>
  <c r="E23" i="1"/>
  <c r="E11" i="1"/>
  <c r="T76" i="5" l="1"/>
  <c r="T71" i="5"/>
  <c r="T66" i="5"/>
  <c r="T62" i="5"/>
  <c r="T58" i="5"/>
  <c r="T51" i="5"/>
  <c r="T46" i="5"/>
  <c r="S90" i="5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T77" i="5" s="1"/>
  <c r="S76" i="5"/>
  <c r="S75" i="5"/>
  <c r="T75" i="5" s="1"/>
  <c r="S74" i="5"/>
  <c r="T74" i="5" s="1"/>
  <c r="S72" i="5"/>
  <c r="T72" i="5" s="1"/>
  <c r="S71" i="5"/>
  <c r="S69" i="5"/>
  <c r="T69" i="5" s="1"/>
  <c r="S68" i="5"/>
  <c r="T68" i="5" s="1"/>
  <c r="S67" i="5"/>
  <c r="T67" i="5" s="1"/>
  <c r="S66" i="5"/>
  <c r="S65" i="5"/>
  <c r="T65" i="5" s="1"/>
  <c r="S64" i="5"/>
  <c r="T64" i="5" s="1"/>
  <c r="S63" i="5"/>
  <c r="T63" i="5" s="1"/>
  <c r="S62" i="5"/>
  <c r="S61" i="5"/>
  <c r="T61" i="5" s="1"/>
  <c r="S60" i="5"/>
  <c r="T60" i="5" s="1"/>
  <c r="S59" i="5"/>
  <c r="T59" i="5" s="1"/>
  <c r="S58" i="5"/>
  <c r="S54" i="5"/>
  <c r="T54" i="5" s="1"/>
  <c r="S53" i="5"/>
  <c r="T53" i="5" s="1"/>
  <c r="S52" i="5"/>
  <c r="T52" i="5" s="1"/>
  <c r="S51" i="5"/>
  <c r="S49" i="5"/>
  <c r="T49" i="5" s="1"/>
  <c r="S47" i="5"/>
  <c r="T47" i="5" s="1"/>
  <c r="S46" i="5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2" i="5"/>
  <c r="T22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Q91" i="5" s="1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N45" i="5" s="1"/>
  <c r="G46" i="5"/>
  <c r="R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N42" i="5" s="1"/>
  <c r="G43" i="5"/>
  <c r="T42" i="5"/>
  <c r="S42" i="5"/>
  <c r="R42" i="5"/>
  <c r="Q42" i="5"/>
  <c r="P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N39" i="5" s="1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O33" i="5" s="1"/>
  <c r="U33" i="5" s="1"/>
  <c r="N32" i="5"/>
  <c r="N30" i="5" s="1"/>
  <c r="G32" i="5"/>
  <c r="N31" i="5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O28" i="5" s="1"/>
  <c r="U28" i="5" s="1"/>
  <c r="N27" i="5"/>
  <c r="N26" i="5"/>
  <c r="G26" i="5"/>
  <c r="N25" i="5"/>
  <c r="N24" i="5" s="1"/>
  <c r="G25" i="5"/>
  <c r="G24" i="5" s="1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O22" i="5" s="1"/>
  <c r="U22" i="5" s="1"/>
  <c r="N21" i="5"/>
  <c r="G21" i="5"/>
  <c r="N20" i="5"/>
  <c r="G20" i="5"/>
  <c r="N19" i="5"/>
  <c r="G19" i="5"/>
  <c r="N18" i="5"/>
  <c r="G18" i="5"/>
  <c r="N17" i="5"/>
  <c r="G17" i="5"/>
  <c r="G16" i="5"/>
  <c r="N15" i="5"/>
  <c r="G15" i="5"/>
  <c r="O15" i="5" s="1"/>
  <c r="N14" i="5"/>
  <c r="G14" i="5"/>
  <c r="O14" i="5" s="1"/>
  <c r="N13" i="5"/>
  <c r="G13" i="5"/>
  <c r="O13" i="5" s="1"/>
  <c r="N12" i="5"/>
  <c r="G12" i="5"/>
  <c r="O12" i="5" s="1"/>
  <c r="U12" i="5" s="1"/>
  <c r="R11" i="5"/>
  <c r="P11" i="5"/>
  <c r="L11" i="5"/>
  <c r="L55" i="5" s="1"/>
  <c r="K11" i="5"/>
  <c r="J11" i="5"/>
  <c r="I11" i="5"/>
  <c r="H11" i="5"/>
  <c r="H55" i="5" s="1"/>
  <c r="F11" i="5"/>
  <c r="E11" i="5"/>
  <c r="D11" i="5"/>
  <c r="C11" i="5"/>
  <c r="O19" i="5" l="1"/>
  <c r="O18" i="5"/>
  <c r="O17" i="5"/>
  <c r="O21" i="5"/>
  <c r="O20" i="5"/>
  <c r="C55" i="5"/>
  <c r="C93" i="5" s="1"/>
  <c r="H91" i="5"/>
  <c r="H93" i="5" s="1"/>
  <c r="L91" i="5"/>
  <c r="L93" i="5" s="1"/>
  <c r="I91" i="5"/>
  <c r="M91" i="5"/>
  <c r="R91" i="5"/>
  <c r="P91" i="5"/>
  <c r="D55" i="5"/>
  <c r="D93" i="5" s="1"/>
  <c r="R55" i="5"/>
  <c r="R93" i="5" s="1"/>
  <c r="J55" i="5"/>
  <c r="O23" i="5"/>
  <c r="O26" i="5"/>
  <c r="U26" i="5" s="1"/>
  <c r="N35" i="5"/>
  <c r="O40" i="5"/>
  <c r="U40" i="5" s="1"/>
  <c r="G42" i="5"/>
  <c r="O52" i="5"/>
  <c r="U52" i="5" s="1"/>
  <c r="O54" i="5"/>
  <c r="U54" i="5" s="1"/>
  <c r="D91" i="5"/>
  <c r="E91" i="5"/>
  <c r="J91" i="5"/>
  <c r="J93" i="5" s="1"/>
  <c r="N91" i="5"/>
  <c r="I55" i="5"/>
  <c r="E55" i="5"/>
  <c r="E93" i="5" s="1"/>
  <c r="F55" i="5"/>
  <c r="F93" i="5" s="1"/>
  <c r="K55" i="5"/>
  <c r="P55" i="5"/>
  <c r="O29" i="5"/>
  <c r="U29" i="5" s="1"/>
  <c r="O32" i="5"/>
  <c r="U32" i="5" s="1"/>
  <c r="O34" i="5"/>
  <c r="U34" i="5" s="1"/>
  <c r="O37" i="5"/>
  <c r="U37" i="5" s="1"/>
  <c r="O43" i="5"/>
  <c r="G45" i="5"/>
  <c r="O48" i="5"/>
  <c r="F91" i="5"/>
  <c r="T91" i="5"/>
  <c r="S91" i="5"/>
  <c r="O70" i="5"/>
  <c r="U71" i="5"/>
  <c r="U70" i="5" s="1"/>
  <c r="U43" i="5"/>
  <c r="U42" i="5" s="1"/>
  <c r="O42" i="5"/>
  <c r="U51" i="5"/>
  <c r="U50" i="5" s="1"/>
  <c r="O86" i="5"/>
  <c r="U87" i="5"/>
  <c r="U86" i="5" s="1"/>
  <c r="U82" i="5"/>
  <c r="U81" i="5" s="1"/>
  <c r="O81" i="5"/>
  <c r="O78" i="5"/>
  <c r="U79" i="5"/>
  <c r="U78" i="5" s="1"/>
  <c r="K93" i="5"/>
  <c r="O35" i="5"/>
  <c r="U36" i="5"/>
  <c r="U35" i="5" s="1"/>
  <c r="U74" i="5"/>
  <c r="U73" i="5" s="1"/>
  <c r="O73" i="5"/>
  <c r="U39" i="5"/>
  <c r="U58" i="5"/>
  <c r="U57" i="5" s="1"/>
  <c r="O57" i="5"/>
  <c r="O25" i="5"/>
  <c r="O31" i="5"/>
  <c r="O46" i="5"/>
  <c r="G57" i="5"/>
  <c r="G73" i="5"/>
  <c r="G81" i="5"/>
  <c r="G11" i="5"/>
  <c r="O39" i="5"/>
  <c r="N50" i="5"/>
  <c r="G70" i="5"/>
  <c r="G78" i="5"/>
  <c r="G86" i="5"/>
  <c r="A2" i="2"/>
  <c r="C2" i="2" s="1"/>
  <c r="E223" i="3"/>
  <c r="E220" i="3"/>
  <c r="D220" i="3"/>
  <c r="E213" i="3"/>
  <c r="E208" i="3"/>
  <c r="D208" i="3"/>
  <c r="E204" i="3"/>
  <c r="E195" i="3"/>
  <c r="D195" i="3"/>
  <c r="E192" i="3"/>
  <c r="D192" i="3"/>
  <c r="E189" i="3"/>
  <c r="D189" i="3"/>
  <c r="E182" i="3"/>
  <c r="E177" i="3"/>
  <c r="D177" i="3"/>
  <c r="E171" i="3"/>
  <c r="D171" i="3"/>
  <c r="E168" i="3"/>
  <c r="D168" i="3"/>
  <c r="E164" i="3"/>
  <c r="D164" i="3"/>
  <c r="E161" i="3"/>
  <c r="D161" i="3"/>
  <c r="E158" i="3"/>
  <c r="E152" i="3"/>
  <c r="E142" i="3"/>
  <c r="E133" i="3"/>
  <c r="E127" i="3"/>
  <c r="E124" i="3"/>
  <c r="D124" i="3"/>
  <c r="E119" i="3"/>
  <c r="D119" i="3"/>
  <c r="E115" i="3"/>
  <c r="D115" i="3"/>
  <c r="E109" i="3"/>
  <c r="D109" i="3"/>
  <c r="E106" i="3"/>
  <c r="D106" i="3"/>
  <c r="E99" i="3"/>
  <c r="E94" i="3"/>
  <c r="D94" i="3"/>
  <c r="E90" i="3"/>
  <c r="E82" i="3"/>
  <c r="D82" i="3"/>
  <c r="E78" i="3"/>
  <c r="D78" i="3"/>
  <c r="E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E161" i="1"/>
  <c r="D161" i="1"/>
  <c r="E158" i="1"/>
  <c r="E155" i="1"/>
  <c r="D155" i="1"/>
  <c r="E152" i="1"/>
  <c r="E143" i="1"/>
  <c r="D143" i="1"/>
  <c r="E140" i="1"/>
  <c r="D140" i="1"/>
  <c r="E137" i="1"/>
  <c r="D137" i="1"/>
  <c r="E133" i="1"/>
  <c r="D133" i="1"/>
  <c r="E125" i="1"/>
  <c r="D125" i="1"/>
  <c r="E118" i="1"/>
  <c r="E115" i="1"/>
  <c r="D115" i="1"/>
  <c r="E110" i="1"/>
  <c r="E104" i="1"/>
  <c r="D104" i="1"/>
  <c r="E93" i="1"/>
  <c r="E84" i="1"/>
  <c r="E79" i="1"/>
  <c r="E72" i="1"/>
  <c r="D72" i="1"/>
  <c r="E62" i="1"/>
  <c r="E54" i="1"/>
  <c r="D54" i="1"/>
  <c r="E48" i="1"/>
  <c r="D48" i="1"/>
  <c r="E41" i="1"/>
  <c r="E35" i="1"/>
  <c r="E19" i="1"/>
  <c r="E13" i="1"/>
  <c r="D13" i="1"/>
  <c r="E10" i="1"/>
  <c r="I93" i="5" l="1"/>
  <c r="P93" i="5"/>
  <c r="O91" i="5"/>
  <c r="O50" i="5"/>
  <c r="G91" i="5"/>
  <c r="G55" i="5"/>
  <c r="H9" i="2"/>
  <c r="H10" i="2"/>
  <c r="C7" i="6"/>
  <c r="H8" i="2"/>
  <c r="U91" i="5"/>
  <c r="E129" i="3"/>
  <c r="E227" i="3"/>
  <c r="E88" i="1"/>
  <c r="E178" i="1"/>
  <c r="E122" i="1"/>
  <c r="D147" i="1"/>
  <c r="E45" i="1"/>
  <c r="E147" i="1"/>
  <c r="O24" i="5"/>
  <c r="U25" i="5"/>
  <c r="U24" i="5" s="1"/>
  <c r="O45" i="5"/>
  <c r="U46" i="5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G93" i="5" l="1"/>
  <c r="A3" i="3"/>
  <c r="E228" i="3"/>
  <c r="E229" i="3" s="1"/>
  <c r="E89" i="1"/>
  <c r="E148" i="1"/>
  <c r="E179" i="1" s="1"/>
  <c r="E180" i="1" s="1"/>
  <c r="A3" i="1"/>
  <c r="A4" i="6"/>
  <c r="T1" i="2"/>
  <c r="P1" i="2"/>
  <c r="S1" i="2"/>
  <c r="O1" i="2"/>
  <c r="R1" i="2"/>
  <c r="Q1" i="2"/>
  <c r="A4" i="5" l="1"/>
  <c r="N1" i="2"/>
  <c r="A1" i="1" l="1"/>
  <c r="A2" i="5"/>
  <c r="A2" i="6"/>
  <c r="A1" i="3"/>
  <c r="A34" i="6"/>
  <c r="Q16" i="5" l="1"/>
  <c r="S16" i="5" s="1"/>
  <c r="T16" i="5" s="1"/>
  <c r="D33" i="1"/>
  <c r="D34" i="1"/>
  <c r="D119" i="1"/>
  <c r="D118" i="1" s="1"/>
  <c r="D154" i="1"/>
  <c r="Q14" i="5"/>
  <c r="S14" i="5" s="1"/>
  <c r="T14" i="5" s="1"/>
  <c r="U14" i="5" s="1"/>
  <c r="Q15" i="5"/>
  <c r="S15" i="5" s="1"/>
  <c r="T15" i="5" s="1"/>
  <c r="U15" i="5" s="1"/>
  <c r="Q19" i="5"/>
  <c r="S19" i="5" s="1"/>
  <c r="T19" i="5" s="1"/>
  <c r="U19" i="5" s="1"/>
  <c r="Q48" i="5"/>
  <c r="D25" i="1"/>
  <c r="D43" i="1"/>
  <c r="Q20" i="5"/>
  <c r="S20" i="5" s="1"/>
  <c r="T20" i="5" s="1"/>
  <c r="U20" i="5" s="1"/>
  <c r="Q18" i="5"/>
  <c r="S18" i="5" s="1"/>
  <c r="T18" i="5" s="1"/>
  <c r="U18" i="5" s="1"/>
  <c r="Q23" i="5"/>
  <c r="S23" i="5" s="1"/>
  <c r="T23" i="5" s="1"/>
  <c r="U23" i="5" s="1"/>
  <c r="D94" i="1"/>
  <c r="Q17" i="5"/>
  <c r="S17" i="5" s="1"/>
  <c r="T17" i="5" s="1"/>
  <c r="U17" i="5" s="1"/>
  <c r="D111" i="1"/>
  <c r="Q21" i="5"/>
  <c r="S21" i="5" s="1"/>
  <c r="T21" i="5" s="1"/>
  <c r="U21" i="5" s="1"/>
  <c r="D42" i="1"/>
  <c r="S48" i="5" l="1"/>
  <c r="Q45" i="5"/>
  <c r="Q13" i="5"/>
  <c r="D83" i="1"/>
  <c r="D79" i="1" s="1"/>
  <c r="D87" i="1"/>
  <c r="D84" i="1" s="1"/>
  <c r="D128" i="3"/>
  <c r="D127" i="3" s="1"/>
  <c r="D159" i="1"/>
  <c r="D158" i="1" s="1"/>
  <c r="D41" i="1"/>
  <c r="D137" i="3"/>
  <c r="D27" i="1"/>
  <c r="D143" i="3"/>
  <c r="D96" i="1"/>
  <c r="D214" i="3"/>
  <c r="D213" i="3" s="1"/>
  <c r="S13" i="5" l="1"/>
  <c r="Q11" i="5"/>
  <c r="Q55" i="5" s="1"/>
  <c r="Q93" i="5" s="1"/>
  <c r="T48" i="5"/>
  <c r="S45" i="5"/>
  <c r="N16" i="5"/>
  <c r="M11" i="5"/>
  <c r="M55" i="5" s="1"/>
  <c r="M93" i="5" s="1"/>
  <c r="D75" i="3"/>
  <c r="D74" i="3" s="1"/>
  <c r="D167" i="1"/>
  <c r="D114" i="1"/>
  <c r="D110" i="1" s="1"/>
  <c r="D153" i="1"/>
  <c r="D152" i="1" s="1"/>
  <c r="D100" i="3"/>
  <c r="D99" i="3" s="1"/>
  <c r="D92" i="3"/>
  <c r="D90" i="3" s="1"/>
  <c r="D157" i="3"/>
  <c r="D95" i="1"/>
  <c r="D93" i="1" s="1"/>
  <c r="D134" i="3"/>
  <c r="D138" i="3"/>
  <c r="T13" i="5" l="1"/>
  <c r="S11" i="5"/>
  <c r="S55" i="5" s="1"/>
  <c r="S93" i="5" s="1"/>
  <c r="T45" i="5"/>
  <c r="U48" i="5"/>
  <c r="U45" i="5" s="1"/>
  <c r="N11" i="5"/>
  <c r="N55" i="5" s="1"/>
  <c r="N93" i="5" s="1"/>
  <c r="O16" i="5"/>
  <c r="D129" i="3"/>
  <c r="D122" i="1"/>
  <c r="D148" i="1" s="1"/>
  <c r="D21" i="1"/>
  <c r="D36" i="1"/>
  <c r="D35" i="1" s="1"/>
  <c r="D135" i="3"/>
  <c r="D150" i="3"/>
  <c r="D159" i="3"/>
  <c r="D158" i="3" s="1"/>
  <c r="D184" i="3"/>
  <c r="D182" i="3" s="1"/>
  <c r="D145" i="3"/>
  <c r="D226" i="3"/>
  <c r="D223" i="3" s="1"/>
  <c r="D144" i="3"/>
  <c r="D11" i="1"/>
  <c r="D10" i="1" s="1"/>
  <c r="D23" i="1"/>
  <c r="U16" i="5" l="1"/>
  <c r="O11" i="5"/>
  <c r="O55" i="5" s="1"/>
  <c r="O93" i="5" s="1"/>
  <c r="T11" i="5"/>
  <c r="T55" i="5" s="1"/>
  <c r="T93" i="5" s="1"/>
  <c r="U13" i="5"/>
  <c r="D70" i="1"/>
  <c r="D136" i="3"/>
  <c r="D133" i="3" s="1"/>
  <c r="D19" i="1"/>
  <c r="D45" i="1" s="1"/>
  <c r="D148" i="3"/>
  <c r="D153" i="3"/>
  <c r="D206" i="3"/>
  <c r="D204" i="3" s="1"/>
  <c r="U11" i="5" l="1"/>
  <c r="U55" i="5" s="1"/>
  <c r="U93" i="5" s="1"/>
  <c r="D63" i="1"/>
  <c r="D62" i="1" s="1"/>
  <c r="D88" i="1" s="1"/>
  <c r="D89" i="1" s="1"/>
  <c r="D146" i="3"/>
  <c r="D142" i="3" s="1"/>
  <c r="D155" i="3"/>
  <c r="D152" i="3" s="1"/>
  <c r="D227" i="3" s="1"/>
  <c r="D228" i="3" s="1"/>
  <c r="D168" i="1" l="1"/>
  <c r="D166" i="1" l="1"/>
  <c r="D178" i="1" s="1"/>
  <c r="D179" i="1" s="1"/>
  <c r="D180" i="1" s="1"/>
  <c r="D229" i="3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<sst xmlns="http://schemas.openxmlformats.org/spreadsheetml/2006/main" count="2127" uniqueCount="1691">
  <si>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</si>
  <si>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</si>
  <si>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</si>
  <si>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</si>
  <si>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</si>
  <si>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</si>
  <si>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</si>
  <si>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</si>
  <si>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</si>
  <si>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</si>
  <si>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</si>
  <si>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</si>
  <si>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</si>
  <si>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</si>
  <si>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</si>
  <si>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</si>
  <si>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</si>
  <si>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</si>
  <si>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</si>
  <si>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</si>
  <si>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</si>
  <si>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</si>
  <si>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</si>
  <si>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</si>
  <si>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</si>
  <si>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</si>
  <si>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</si>
  <si>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</si>
  <si>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</si>
  <si>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</si>
  <si>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</si>
  <si>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</si>
  <si>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</si>
  <si>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</si>
  <si>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</si>
  <si>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</si>
  <si>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</si>
  <si>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</si>
  <si>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</si>
  <si>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</si>
  <si>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</si>
  <si>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</si>
  <si>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</si>
  <si>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</si>
  <si>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</si>
  <si>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</si>
  <si>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</si>
  <si>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</si>
  <si>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</si>
  <si>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</si>
  <si>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</si>
  <si>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</si>
  <si>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</si>
  <si>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</si>
  <si>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</si>
  <si>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</si>
  <si>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</si>
  <si>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</si>
  <si>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</si>
  <si>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</si>
  <si>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</si>
  <si>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</si>
  <si>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</si>
  <si>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</si>
  <si>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</si>
  <si>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</si>
  <si>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</si>
  <si>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</si>
  <si>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</si>
  <si>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</si>
  <si>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</si>
  <si>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</si>
  <si>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</si>
  <si>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</si>
  <si>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</si>
  <si>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</si>
  <si>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</si>
  <si>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</si>
  <si>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</si>
  <si>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</si>
  <si>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</si>
  <si>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</si>
  <si>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</si>
  <si>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</si>
  <si>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</si>
  <si>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</si>
  <si>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</si>
  <si>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</si>
  <si>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</si>
  <si>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</si>
  <si>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</si>
  <si>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</si>
  <si>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</si>
  <si>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</si>
  <si>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</si>
  <si>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</si>
  <si>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</si>
  <si>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</si>
  <si>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</si>
  <si>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</si>
  <si>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</si>
  <si>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</si>
  <si>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</si>
  <si>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</si>
  <si>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</si>
  <si>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</si>
  <si>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</si>
  <si>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</si>
  <si>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</si>
  <si>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</si>
  <si>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</si>
  <si>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</si>
  <si>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</si>
  <si>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</si>
  <si>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</si>
  <si>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</si>
  <si>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</si>
  <si>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</si>
  <si>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</si>
  <si>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</si>
  <si>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</si>
  <si>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</si>
  <si>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</si>
  <si>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</si>
  <si>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</si>
  <si>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</si>
  <si>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</si>
  <si>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</si>
  <si>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</si>
  <si>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</si>
  <si>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</si>
  <si>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</si>
  <si>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</si>
  <si>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</si>
  <si>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</si>
  <si>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</si>
  <si>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</si>
  <si>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</si>
  <si>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</si>
  <si>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</si>
  <si>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</si>
  <si>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</si>
  <si>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</si>
  <si>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</si>
  <si>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</si>
  <si>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</si>
  <si>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</si>
  <si>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</si>
  <si>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</si>
  <si>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</si>
  <si>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</si>
  <si>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</si>
  <si>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</si>
  <si>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</si>
  <si>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</si>
  <si>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</si>
  <si>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</si>
  <si>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</si>
  <si>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</si>
  <si>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</si>
  <si>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</si>
  <si>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</si>
  <si>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</si>
  <si>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</si>
  <si>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</si>
  <si>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</si>
  <si>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</si>
  <si>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</si>
  <si>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</si>
  <si>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</si>
  <si>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</si>
  <si>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</si>
  <si>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</si>
  <si>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</si>
  <si>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</si>
  <si>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</si>
  <si>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</si>
  <si>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</si>
  <si>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</si>
  <si>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</si>
  <si>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</si>
  <si>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</si>
  <si>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</si>
  <si>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</si>
  <si>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</si>
  <si>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</si>
  <si>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</si>
  <si>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</si>
  <si>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</si>
  <si>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</si>
  <si>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</si>
  <si>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</si>
  <si>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</si>
  <si>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</si>
  <si>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</si>
  <si>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</si>
  <si>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</si>
  <si>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</si>
  <si>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</si>
  <si>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</si>
  <si>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</si>
  <si>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</si>
  <si>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</si>
  <si>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</si>
  <si>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</si>
  <si>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</si>
  <si>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</si>
  <si>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</si>
  <si>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</si>
  <si>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</si>
  <si>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</si>
  <si>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</si>
  <si>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</si>
  <si>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</si>
  <si>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</si>
  <si>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</si>
  <si>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</si>
  <si>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</si>
  <si>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</si>
  <si>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</si>
  <si>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</si>
  <si>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</si>
  <si>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</si>
  <si>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</si>
  <si>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</si>
  <si>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</si>
  <si>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</si>
  <si>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</si>
  <si>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</si>
  <si>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</si>
  <si>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</si>
  <si>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</si>
  <si>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</si>
  <si>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</si>
  <si>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</si>
  <si>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</si>
  <si>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</si>
  <si>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</si>
  <si>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</si>
  <si>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</si>
  <si>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</si>
  <si>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</si>
  <si>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</si>
  <si>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</si>
  <si>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</si>
  <si>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</si>
  <si>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</si>
  <si>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</si>
  <si>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</si>
  <si>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</si>
  <si>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</si>
  <si>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</si>
  <si>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</si>
  <si>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</si>
  <si>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</si>
  <si>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</si>
  <si>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</si>
  <si>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</si>
  <si>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</si>
  <si>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</si>
  <si>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</si>
  <si>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</si>
  <si>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</si>
  <si>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</si>
  <si>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</si>
  <si>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</si>
  <si>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</si>
  <si>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</si>
  <si>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</si>
  <si>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</si>
  <si>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</si>
  <si>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</si>
  <si>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</si>
  <si>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</si>
  <si>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</si>
  <si>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</si>
  <si>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</si>
  <si>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</si>
  <si>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</si>
  <si>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</si>
  <si>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</si>
  <si>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</si>
  <si>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</si>
  <si>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</si>
  <si>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</si>
  <si>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</si>
  <si>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</si>
  <si>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</si>
  <si>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</si>
  <si>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</si>
  <si>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</si>
  <si>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</si>
  <si>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</si>
  <si>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</si>
  <si>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</si>
  <si>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</si>
  <si>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</si>
  <si>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</si>
  <si>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</si>
  <si>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</si>
  <si>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</si>
  <si>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</si>
  <si>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</si>
  <si>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</si>
  <si>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</si>
  <si>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</si>
  <si>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</si>
  <si>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</si>
  <si>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</si>
  <si>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</si>
  <si>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</si>
  <si>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</si>
  <si>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</si>
  <si>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</si>
  <si>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</si>
  <si>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</si>
  <si>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</si>
  <si>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</si>
  <si>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</si>
  <si>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</si>
  <si>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</si>
  <si>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</si>
  <si>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</si>
  <si>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</si>
  <si>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</si>
  <si>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</si>
  <si>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</si>
  <si>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</si>
  <si>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</si>
  <si>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</si>
  <si>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</si>
  <si>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</si>
  <si>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</si>
  <si>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</si>
  <si>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</si>
  <si>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</si>
  <si>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</si>
  <si>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</si>
  <si>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</si>
  <si>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</si>
  <si>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</si>
  <si>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</si>
  <si>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</si>
  <si>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</si>
  <si>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</si>
  <si>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</si>
  <si>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</si>
  <si>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</si>
  <si>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</si>
  <si>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</si>
  <si>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</si>
  <si>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</si>
  <si>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</si>
  <si>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</si>
  <si>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</si>
  <si>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</si>
  <si>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</si>
  <si>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</si>
  <si>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</si>
  <si>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</si>
  <si>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</si>
  <si>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</si>
  <si>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</si>
  <si>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</si>
  <si>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</si>
  <si>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</si>
  <si>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</si>
  <si>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</si>
  <si>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</si>
  <si>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</si>
  <si>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</si>
  <si>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</si>
  <si>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</si>
  <si>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</si>
  <si>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</si>
  <si>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</si>
  <si>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</si>
  <si>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</si>
  <si>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</si>
  <si>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</si>
  <si>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</si>
  <si>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</si>
  <si>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</si>
  <si>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</si>
  <si>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</si>
  <si>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</si>
  <si>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</si>
  <si>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</si>
  <si>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</si>
  <si>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</si>
  <si>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</si>
  <si>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</si>
  <si>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</si>
  <si>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</si>
  <si>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</si>
  <si>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</si>
  <si>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</si>
  <si>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</si>
  <si>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</si>
  <si>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</si>
  <si>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</si>
  <si>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</si>
  <si>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</si>
  <si>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</si>
  <si>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</si>
  <si>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</si>
  <si>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</si>
  <si>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</si>
  <si>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</si>
  <si>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</si>
  <si>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</si>
  <si>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</si>
  <si>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</si>
  <si>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</si>
  <si>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</si>
  <si>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</si>
  <si>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</si>
  <si>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</si>
  <si>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</si>
  <si>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</si>
  <si>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</si>
  <si>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</si>
  <si>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</si>
  <si>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</si>
  <si>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</si>
  <si>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</si>
  <si>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</si>
  <si>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</si>
  <si>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</si>
  <si>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</si>
  <si>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</si>
  <si>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</si>
  <si>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</si>
  <si>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</si>
  <si>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</si>
  <si>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</si>
  <si>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</si>
  <si>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</si>
  <si>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</si>
  <si>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</si>
  <si>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</si>
  <si>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</si>
  <si>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</si>
  <si>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</si>
  <si>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</si>
  <si>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</si>
  <si>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</si>
  <si>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</si>
  <si>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</si>
  <si>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</si>
  <si>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</si>
  <si>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</si>
  <si>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</si>
  <si>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</si>
  <si>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</si>
  <si>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</si>
  <si>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</si>
  <si>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</si>
  <si>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</si>
  <si>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</si>
  <si>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</si>
  <si>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</si>
  <si>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</si>
  <si>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</si>
  <si>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</si>
  <si>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</si>
  <si>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</si>
  <si>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</si>
  <si>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</si>
  <si>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</si>
  <si>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</si>
  <si>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</si>
  <si>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</si>
  <si>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</si>
  <si>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</si>
  <si>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</si>
  <si>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</si>
  <si>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</si>
  <si>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</si>
  <si>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</si>
  <si>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</si>
  <si>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</si>
  <si>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</si>
  <si>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</si>
  <si>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</si>
  <si>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</si>
  <si>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</si>
  <si>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</si>
  <si>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</si>
  <si>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</si>
  <si>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</si>
  <si>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</si>
  <si>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</si>
  <si>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</si>
  <si>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</si>
  <si>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</si>
  <si>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</si>
  <si>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</si>
  <si>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</si>
  <si>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</si>
  <si>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</si>
  <si>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</si>
  <si>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</si>
  <si>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</si>
  <si>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</si>
  <si>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</si>
  <si>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</si>
  <si>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</si>
  <si>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</si>
  <si>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</si>
  <si>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</si>
  <si>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</si>
  <si>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</si>
  <si>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</si>
  <si>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</si>
  <si>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</si>
  <si>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</si>
  <si>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</si>
  <si>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</si>
  <si>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</si>
  <si>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</si>
  <si>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</si>
  <si>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</si>
  <si>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</si>
  <si>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</si>
  <si>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</si>
  <si>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</si>
  <si>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</si>
  <si>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</si>
  <si>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</si>
  <si>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</si>
  <si>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</si>
  <si>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</si>
  <si>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</si>
  <si>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</si>
  <si>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</si>
  <si>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</si>
  <si>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</si>
  <si>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</si>
  <si>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</si>
  <si>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</si>
  <si>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</si>
  <si>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</si>
  <si>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</si>
  <si>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</si>
  <si>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</si>
  <si>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</si>
  <si>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</si>
  <si>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</si>
  <si>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</si>
  <si>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</si>
  <si>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</si>
  <si>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</si>
  <si>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</si>
  <si>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</si>
  <si>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</si>
  <si>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</si>
  <si>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</si>
  <si>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</si>
  <si>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</si>
  <si>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</si>
  <si>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</si>
  <si>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</si>
  <si>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</si>
  <si>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</si>
  <si>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</si>
  <si>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</si>
  <si>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</si>
  <si>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</si>
  <si>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</si>
  <si>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</si>
  <si>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</si>
  <si>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</si>
  <si>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</si>
  <si>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</si>
  <si>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</si>
  <si>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</si>
  <si>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</si>
  <si>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</si>
  <si>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</si>
  <si>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</si>
  <si>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</si>
  <si>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</si>
  <si>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</si>
  <si>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</si>
  <si>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</si>
  <si>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</si>
  <si>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</si>
  <si>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</si>
  <si>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</si>
  <si>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</si>
  <si>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</si>
  <si>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</si>
  <si>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</si>
  <si>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</si>
  <si>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</si>
  <si>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</si>
  <si>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</si>
  <si>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</si>
  <si>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</si>
  <si>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</si>
  <si>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</si>
  <si>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</si>
  <si>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</si>
  <si>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</si>
  <si>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</si>
  <si>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</si>
  <si>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</si>
  <si>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</si>
  <si>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</si>
  <si>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</si>
  <si>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</si>
  <si>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</si>
  <si>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</si>
  <si>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</si>
  <si>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</si>
  <si>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</si>
  <si>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</si>
  <si>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</si>
  <si>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</si>
  <si>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</si>
  <si>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</si>
  <si>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</si>
  <si>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</si>
  <si>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</si>
  <si>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</si>
  <si>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</si>
  <si>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</si>
  <si>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</si>
  <si>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</si>
  <si>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</si>
  <si>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</si>
  <si>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</si>
  <si>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</si>
  <si>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</si>
  <si>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</si>
  <si>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</si>
  <si>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</si>
  <si>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</si>
  <si>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</si>
  <si>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</si>
  <si>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</si>
  <si>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</si>
  <si>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</si>
  <si>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</si>
  <si>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</si>
  <si>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</si>
  <si>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</si>
  <si>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</si>
  <si>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</si>
  <si>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</si>
  <si>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</si>
  <si>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</si>
  <si>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</si>
  <si>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</si>
  <si>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</si>
  <si>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</si>
  <si>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</si>
  <si>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</si>
  <si>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</si>
  <si>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</si>
  <si>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</si>
  <si>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</si>
  <si>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</si>
  <si>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</si>
  <si>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</si>
  <si>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</si>
  <si>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</si>
  <si>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</si>
  <si>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</si>
  <si>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</si>
  <si>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</si>
  <si>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</si>
  <si>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</si>
  <si>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</si>
  <si>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</si>
  <si>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</si>
  <si>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</si>
  <si>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</si>
  <si>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</si>
  <si>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</si>
  <si>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</si>
  <si>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</si>
  <si>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</si>
  <si>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</si>
  <si>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</si>
  <si>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</si>
  <si>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</si>
  <si>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</si>
  <si>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</si>
  <si>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</si>
  <si>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</si>
  <si>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</si>
  <si>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</si>
  <si>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</si>
  <si>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</si>
  <si>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</si>
  <si>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</si>
  <si>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</si>
  <si>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</si>
  <si>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</si>
  <si>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</si>
  <si>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</si>
  <si>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</si>
  <si>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</si>
  <si>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</si>
  <si>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</si>
  <si>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</si>
  <si>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</si>
  <si>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</si>
  <si>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</si>
  <si>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</si>
  <si>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</si>
  <si>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</si>
  <si>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</si>
  <si>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</si>
  <si>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</si>
  <si>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</si>
  <si>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</si>
  <si>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</si>
  <si>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</si>
  <si>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</si>
  <si>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</si>
  <si>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</si>
  <si>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</si>
  <si>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</si>
  <si>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</si>
  <si>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</si>
  <si>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</si>
  <si>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</si>
  <si>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</si>
  <si>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</si>
  <si>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</si>
  <si>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</si>
  <si>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</si>
  <si>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</si>
  <si>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</si>
  <si>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</si>
  <si>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</si>
  <si>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</si>
  <si>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</si>
  <si>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</si>
  <si>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</si>
  <si>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</si>
  <si>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</si>
  <si>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</si>
  <si>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</si>
  <si>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</si>
  <si>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</si>
  <si>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</si>
  <si>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</si>
  <si>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</si>
  <si>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</si>
  <si>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</si>
  <si>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</si>
  <si>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</si>
  <si>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</si>
  <si>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</si>
  <si>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</si>
  <si>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</si>
  <si>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</si>
  <si>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</si>
  <si>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</si>
  <si>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</si>
  <si>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</si>
  <si>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</si>
  <si>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</si>
  <si>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</si>
  <si>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</si>
  <si>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</si>
  <si>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</si>
  <si>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</si>
  <si>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</si>
  <si>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</si>
  <si>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</si>
  <si>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</si>
  <si>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</si>
  <si>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</si>
  <si>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</si>
  <si>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</si>
  <si>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</si>
  <si>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</si>
  <si>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</si>
  <si>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</si>
  <si>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</si>
  <si>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</si>
  <si>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</si>
  <si>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</si>
  <si>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</si>
  <si>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</si>
  <si>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</si>
  <si>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</si>
  <si>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</si>
  <si>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</si>
  <si>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</si>
  <si>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</si>
  <si>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</si>
  <si>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</si>
  <si>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</si>
  <si>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</si>
  <si>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</si>
  <si>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</si>
  <si>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</si>
  <si>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</si>
  <si>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</si>
  <si>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</si>
  <si>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</si>
  <si>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</si>
  <si>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</si>
  <si>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</si>
  <si>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</si>
  <si>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</si>
  <si>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</si>
  <si>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</si>
  <si>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</si>
  <si>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</si>
  <si>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</si>
  <si>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</si>
  <si>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</si>
  <si>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</si>
  <si>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</si>
  <si>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</si>
  <si>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</si>
  <si>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</si>
  <si>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</si>
  <si>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</si>
  <si>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</si>
  <si>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</si>
  <si>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</si>
  <si>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</si>
  <si>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</si>
  <si>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</si>
  <si>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</si>
  <si>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</si>
  <si>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</si>
  <si>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</si>
  <si>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</si>
  <si>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</si>
  <si>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</si>
  <si>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</si>
  <si>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</si>
  <si>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</si>
  <si>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</si>
  <si>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</si>
  <si>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</si>
  <si>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</si>
  <si>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</si>
  <si>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</si>
  <si>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</si>
  <si>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</si>
  <si>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</si>
  <si>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</si>
  <si>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</si>
  <si>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</si>
  <si>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</si>
  <si>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</si>
  <si>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</si>
  <si>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</si>
  <si>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</si>
  <si>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</si>
  <si>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</si>
  <si>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</si>
  <si>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</si>
  <si>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</si>
  <si>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</si>
  <si>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</si>
  <si>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</si>
  <si>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</si>
  <si>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</si>
  <si>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</si>
  <si>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</si>
  <si>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</si>
  <si>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</si>
  <si>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</si>
  <si>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</si>
  <si>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</si>
  <si>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</si>
  <si>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</si>
  <si>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</si>
  <si>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</si>
  <si>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</si>
  <si>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</si>
  <si>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</si>
  <si>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</si>
  <si>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</si>
  <si>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</si>
  <si>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</si>
  <si>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</si>
  <si>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</si>
  <si>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</si>
  <si>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</si>
  <si>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</si>
  <si>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</si>
  <si>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</si>
  <si>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</si>
  <si>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</si>
  <si>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</si>
  <si>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</si>
  <si>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</si>
  <si>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</si>
  <si>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</si>
  <si>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</si>
  <si>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</si>
  <si>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</si>
  <si>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</si>
  <si>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</si>
  <si>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</si>
  <si>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</si>
  <si>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</si>
  <si>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</si>
  <si>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</si>
  <si>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</si>
  <si>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</si>
  <si>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</si>
  <si>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</si>
  <si>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</si>
  <si>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</si>
  <si>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</si>
  <si>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</si>
  <si>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</si>
  <si>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</si>
  <si>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</si>
  <si>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</si>
  <si>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</si>
  <si>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</si>
  <si>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</si>
  <si>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</si>
  <si>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</si>
  <si>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</si>
  <si>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</si>
  <si>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</si>
  <si>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</si>
  <si>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</si>
  <si>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</si>
  <si>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</si>
  <si>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</si>
  <si>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</si>
  <si>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</si>
  <si>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</si>
  <si>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</si>
  <si>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</si>
  <si>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</si>
  <si>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</si>
  <si>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</si>
  <si>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</si>
  <si>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</si>
  <si>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</si>
  <si>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</si>
  <si>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</si>
  <si>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</si>
  <si>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</si>
  <si>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</si>
  <si>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</si>
  <si>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</si>
  <si>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</si>
  <si>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</si>
  <si>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</si>
  <si>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</si>
  <si>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</si>
  <si>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</si>
  <si>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</si>
  <si>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</si>
  <si>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</si>
  <si>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</si>
  <si>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</si>
  <si>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</si>
  <si>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</si>
  <si>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</si>
  <si>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</si>
  <si>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</si>
  <si>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</si>
  <si>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</si>
  <si>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</si>
  <si>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</si>
  <si>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</si>
  <si>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</si>
  <si>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</si>
  <si>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</si>
  <si>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</si>
  <si>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</si>
  <si>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</si>
  <si>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</si>
  <si>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</si>
  <si>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</si>
  <si>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</si>
  <si>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</si>
  <si>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</si>
  <si>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</si>
  <si>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</si>
  <si>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</si>
  <si>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</si>
  <si>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</si>
  <si>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</si>
  <si>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</si>
  <si>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</si>
  <si>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</si>
  <si>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</si>
  <si>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</si>
  <si>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</si>
  <si>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</si>
  <si>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</si>
  <si>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</si>
  <si>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</si>
  <si>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</si>
  <si>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</si>
  <si>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</si>
  <si>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</si>
  <si>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</si>
  <si>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</si>
  <si>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</si>
  <si>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</si>
  <si>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</si>
  <si>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</si>
  <si>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</si>
  <si>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</si>
  <si>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</si>
  <si>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</si>
  <si>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</si>
  <si>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</si>
  <si>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</si>
  <si>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</si>
  <si>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</si>
  <si>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</si>
  <si>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</si>
  <si>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</si>
  <si>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</si>
  <si>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</si>
  <si>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</si>
  <si>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</si>
  <si>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</si>
  <si>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</si>
  <si>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</si>
  <si>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</si>
  <si>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</si>
  <si>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</si>
  <si>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</si>
  <si>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</si>
  <si>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</si>
  <si>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</si>
  <si>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</si>
  <si>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</si>
  <si>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</si>
  <si>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</si>
  <si>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</si>
  <si>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</si>
  <si>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</si>
  <si>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</si>
  <si>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</si>
  <si>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</si>
  <si>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</si>
  <si>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</si>
  <si>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</si>
  <si>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</si>
  <si>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</si>
  <si>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</si>
  <si>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</si>
  <si>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</si>
  <si>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</si>
  <si>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</si>
  <si>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</si>
  <si>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</si>
  <si>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</si>
  <si>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</si>
  <si>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</si>
  <si>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</si>
  <si>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</si>
  <si>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</si>
  <si>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</si>
  <si>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</si>
  <si>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</si>
  <si>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</si>
  <si>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</si>
  <si>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</si>
  <si>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</si>
  <si>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</si>
  <si>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</si>
  <si>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</si>
  <si>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</si>
  <si>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</si>
  <si>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</si>
  <si>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</si>
  <si>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</si>
  <si>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</si>
  <si>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</si>
  <si>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</si>
  <si>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</si>
  <si>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</si>
  <si>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</si>
  <si>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</si>
  <si>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</si>
  <si>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</si>
  <si>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</si>
  <si>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</si>
  <si>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</si>
  <si>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</si>
  <si>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</si>
  <si>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</si>
  <si>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</si>
  <si>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</si>
  <si>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</si>
  <si>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</si>
  <si>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</si>
  <si>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</si>
  <si>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</si>
  <si>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</si>
  <si>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</si>
  <si>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</si>
  <si>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</si>
  <si>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</si>
  <si>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</si>
  <si>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</si>
  <si>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</si>
  <si>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</si>
  <si>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</si>
  <si>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</si>
  <si>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</si>
  <si>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</si>
  <si>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</si>
  <si>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</si>
  <si>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</si>
  <si>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</si>
  <si>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</si>
  <si>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</si>
  <si>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</si>
  <si>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</si>
  <si>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</si>
  <si>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</si>
  <si>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</si>
  <si>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</si>
  <si>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</si>
  <si>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</si>
  <si>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</si>
  <si>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</si>
  <si>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</si>
  <si>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</si>
  <si>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</si>
  <si>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</si>
  <si>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</si>
  <si>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</si>
  <si>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</si>
  <si>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</si>
  <si>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</si>
  <si>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</si>
  <si>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</si>
  <si>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</si>
  <si>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</si>
  <si>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</si>
  <si>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</si>
  <si>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</si>
  <si>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</si>
  <si>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</si>
  <si>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</si>
  <si>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</si>
  <si>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</si>
  <si>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</si>
  <si>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</si>
  <si>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</si>
  <si>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</si>
  <si>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</si>
  <si>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</si>
  <si>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</si>
  <si>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</si>
  <si>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</si>
  <si>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</si>
  <si>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</si>
  <si>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</si>
  <si>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</si>
  <si>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</si>
  <si>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</si>
  <si>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</si>
  <si>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</si>
  <si>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</si>
  <si>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</si>
  <si>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</si>
  <si>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</si>
  <si>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</si>
  <si>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</si>
  <si>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</si>
  <si>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</si>
  <si>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</si>
  <si>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</si>
  <si>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</si>
  <si>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</si>
  <si>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</si>
  <si>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</si>
  <si>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</si>
  <si>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</si>
  <si>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</si>
  <si>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</si>
  <si>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</si>
  <si>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</si>
  <si>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</si>
  <si>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</si>
  <si>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</si>
  <si>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</si>
  <si>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</si>
  <si>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</si>
  <si>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</si>
  <si>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</si>
  <si>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</si>
  <si>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</si>
  <si>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</si>
  <si>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</si>
  <si>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</si>
  <si>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</si>
  <si>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</si>
  <si>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</si>
  <si>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</si>
  <si>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</si>
  <si>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</si>
  <si>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</si>
  <si>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</si>
  <si>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</si>
  <si>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</si>
  <si>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</si>
  <si>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</si>
  <si>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</si>
  <si>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</si>
  <si>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</si>
  <si>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</si>
  <si>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</si>
  <si>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</si>
  <si>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</si>
  <si>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</si>
  <si>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</si>
  <si>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</si>
  <si>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</si>
  <si>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</si>
  <si>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</si>
  <si>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</si>
  <si>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</si>
  <si>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</si>
  <si>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</si>
  <si>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</si>
  <si>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</si>
  <si>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</si>
  <si>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</si>
  <si>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</si>
  <si>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</si>
  <si>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</si>
  <si>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</si>
  <si>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</si>
  <si>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</si>
  <si>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</si>
  <si>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</si>
  <si>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</si>
  <si>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</si>
  <si>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</si>
  <si>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</si>
  <si>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</si>
  <si>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</si>
  <si>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</si>
  <si>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</si>
  <si>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</si>
  <si>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</si>
  <si>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</si>
  <si>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</si>
  <si>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</si>
  <si>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</si>
  <si>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</si>
  <si>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</si>
  <si>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</si>
  <si>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</si>
  <si>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</si>
  <si>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</si>
  <si>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</si>
  <si>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</si>
  <si>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</si>
  <si>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</si>
  <si>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</si>
  <si>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</si>
  <si>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</si>
  <si>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</si>
  <si>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</si>
  <si>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</si>
  <si>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</si>
  <si>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</si>
  <si>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</si>
  <si>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</si>
  <si>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</si>
  <si>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</si>
  <si>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</si>
  <si>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</si>
  <si>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</si>
  <si>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</si>
  <si>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</si>
  <si>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</si>
  <si>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</si>
  <si>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</si>
  <si>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</si>
  <si>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</si>
  <si>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</si>
  <si>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</si>
  <si>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</si>
  <si>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</si>
  <si>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</si>
  <si>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</si>
  <si>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</si>
  <si>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</si>
  <si>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</si>
  <si>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</si>
  <si>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</si>
  <si>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</si>
  <si>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</si>
  <si>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</si>
  <si>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</si>
  <si>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</si>
  <si>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</si>
  <si>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</si>
  <si>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</si>
  <si>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</si>
  <si>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</si>
  <si>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</si>
  <si>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</si>
  <si>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</si>
  <si>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</si>
  <si>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</si>
  <si>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</si>
  <si>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</si>
  <si>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</si>
  <si>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</si>
  <si>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</si>
  <si>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</si>
  <si>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</si>
  <si>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</si>
  <si>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</si>
  <si>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</si>
  <si>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</si>
  <si>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</si>
  <si>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</si>
  <si>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</si>
  <si>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</si>
  <si>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</si>
  <si>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</si>
  <si>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</si>
  <si>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</si>
  <si>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</si>
  <si>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</si>
  <si>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</si>
  <si>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</si>
  <si>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</si>
  <si>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</si>
  <si>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</si>
  <si>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</si>
  <si>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</si>
  <si>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</si>
  <si>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</si>
  <si>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</si>
  <si>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</si>
  <si>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</si>
  <si>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</si>
  <si>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</si>
  <si>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</si>
  <si>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</si>
  <si>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</si>
  <si>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</si>
  <si>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</si>
  <si>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</si>
  <si>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</si>
  <si>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</si>
  <si>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</si>
  <si>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</si>
  <si>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</si>
  <si>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</si>
  <si>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</si>
  <si>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</si>
  <si>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</si>
  <si>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</si>
  <si>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</si>
  <si>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</si>
  <si>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</si>
  <si>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</si>
  <si>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</si>
  <si>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</si>
  <si>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</si>
  <si>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</si>
  <si>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</si>
  <si>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</si>
  <si>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</si>
  <si>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</si>
  <si>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</si>
  <si>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</si>
  <si>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</si>
  <si>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</si>
  <si>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</si>
  <si>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</si>
  <si>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</si>
  <si>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</si>
  <si>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</si>
  <si>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</si>
  <si>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</si>
  <si>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</si>
  <si>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</si>
  <si>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</si>
  <si>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</si>
  <si>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</si>
  <si>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</si>
  <si>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</si>
  <si>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</si>
  <si>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</si>
  <si>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</si>
  <si>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</si>
  <si>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</si>
  <si>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</si>
  <si>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</si>
  <si>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</si>
  <si>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</si>
  <si>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</si>
  <si>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</si>
  <si>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</si>
  <si>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</si>
  <si>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</si>
  <si>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</si>
  <si>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</si>
  <si>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</si>
  <si>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</si>
  <si>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</si>
  <si>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</si>
  <si>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</si>
  <si>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</si>
  <si>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</si>
  <si>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</si>
  <si>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</si>
  <si>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</si>
  <si>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</si>
  <si>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</si>
  <si>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</si>
  <si>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</si>
  <si>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</si>
  <si>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</si>
  <si>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</si>
  <si>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</si>
  <si>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</si>
  <si>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</si>
  <si>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</si>
  <si>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</si>
  <si>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</si>
  <si>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</si>
  <si>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</si>
  <si>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</si>
  <si>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</si>
  <si>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</si>
  <si>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</si>
  <si>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</si>
  <si>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</si>
  <si>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</si>
  <si>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</si>
  <si>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</si>
  <si>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</si>
  <si>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</si>
  <si>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</si>
  <si>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</si>
  <si>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</si>
  <si>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</si>
  <si>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</si>
  <si>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</si>
  <si>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</si>
  <si>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</si>
  <si>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</si>
  <si>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</si>
  <si>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</si>
  <si>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</si>
  <si>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</si>
  <si>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</si>
  <si>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</si>
  <si>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</si>
  <si>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</si>
  <si>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</si>
  <si>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</si>
  <si>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</si>
  <si>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</si>
  <si>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</si>
  <si>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</si>
  <si>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</si>
  <si>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</si>
  <si>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</si>
  <si>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</si>
  <si>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</si>
  <si>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</si>
  <si>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</si>
  <si>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</si>
  <si>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</si>
  <si>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</si>
  <si>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</si>
  <si>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</si>
  <si>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</si>
  <si>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</si>
  <si>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</si>
  <si>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</si>
  <si>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</si>
  <si>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</si>
  <si>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</si>
  <si>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</si>
  <si>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</si>
  <si>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</si>
  <si>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</si>
  <si>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</si>
  <si>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</si>
  <si>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</si>
  <si>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</si>
  <si>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</si>
  <si>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</si>
  <si>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</si>
  <si>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</si>
  <si>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</si>
  <si>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</si>
  <si>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</si>
  <si>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</si>
  <si>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</si>
  <si>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</si>
  <si>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</si>
  <si>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</si>
  <si>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</si>
  <si>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</si>
  <si>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</si>
  <si>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</si>
  <si>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</si>
  <si>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</si>
  <si>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</si>
  <si>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</si>
  <si>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</si>
  <si>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</si>
  <si>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</si>
  <si>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</si>
  <si>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</si>
  <si>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</si>
  <si>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</si>
  <si>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</si>
  <si>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</si>
  <si>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</si>
  <si>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</si>
  <si>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</si>
  <si>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</si>
  <si>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</si>
  <si>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</si>
  <si>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</si>
  <si>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</si>
  <si>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</si>
  <si>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</si>
  <si>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</si>
  <si>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</si>
  <si>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</si>
  <si>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</si>
  <si>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</si>
  <si>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</si>
  <si>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</si>
  <si>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</si>
  <si>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</si>
  <si>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</si>
  <si>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</si>
  <si>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</si>
  <si>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</si>
  <si>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</si>
  <si>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</si>
  <si>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</si>
  <si>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</si>
  <si>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</si>
  <si>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</si>
  <si>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</si>
  <si>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</si>
  <si>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</si>
  <si>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</si>
  <si>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</si>
  <si>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</si>
  <si>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</si>
  <si>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</si>
  <si>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</si>
  <si>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</si>
  <si>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</si>
  <si>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</si>
  <si>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</si>
  <si>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</si>
  <si>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</si>
  <si>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</si>
  <si>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</si>
  <si>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</si>
  <si>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</si>
  <si>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</si>
  <si>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</si>
  <si>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</si>
  <si>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</si>
  <si>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</si>
  <si>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</si>
  <si>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</si>
  <si>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</si>
  <si>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</si>
  <si>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</si>
  <si>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</si>
  <si>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</si>
  <si>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</si>
  <si>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</si>
  <si>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</si>
  <si>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</si>
  <si>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</si>
  <si>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</si>
  <si>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</si>
  <si>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</si>
  <si>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</si>
  <si>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</si>
  <si>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</si>
  <si>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</si>
  <si>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</si>
  <si>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</si>
  <si>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</si>
  <si>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</si>
  <si>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</si>
  <si>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</si>
  <si>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</si>
  <si>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</si>
  <si>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</si>
  <si>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</si>
  <si>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</si>
  <si>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</si>
  <si>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</si>
  <si>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</si>
  <si>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</si>
  <si>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</si>
  <si>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</si>
  <si>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</si>
  <si>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</si>
  <si>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</si>
  <si>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</si>
  <si>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</si>
  <si>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</si>
  <si>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</si>
  <si>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</si>
  <si>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</si>
  <si>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</si>
  <si>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</si>
  <si>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</si>
  <si>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</si>
  <si>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</si>
  <si>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</si>
  <si>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</si>
  <si>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</si>
  <si>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</si>
  <si>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</si>
  <si>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</si>
  <si>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</si>
  <si>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</si>
  <si>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</si>
  <si>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</si>
  <si>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</si>
  <si>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</si>
  <si>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</si>
  <si>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</si>
  <si>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</si>
  <si>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</si>
  <si>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</si>
  <si>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</si>
  <si>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</si>
  <si>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</si>
  <si>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</si>
  <si>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</si>
  <si>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</si>
  <si>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</si>
  <si>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</si>
  <si>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</si>
  <si>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</si>
  <si>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</si>
  <si>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</si>
  <si>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</si>
  <si>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</si>
  <si>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</si>
  <si>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</si>
  <si>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</si>
  <si>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</si>
  <si>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</si>
  <si>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</si>
  <si>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</si>
  <si>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</si>
  <si>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</si>
  <si>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</si>
  <si>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</si>
  <si>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</si>
  <si>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</si>
  <si>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</si>
  <si>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</si>
  <si>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</si>
  <si>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</si>
  <si>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</si>
  <si>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</si>
  <si>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</si>
  <si>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</si>
  <si>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</si>
  <si>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</si>
  <si>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</si>
  <si>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</si>
  <si>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</si>
  <si>
    <t>14296</t>
  </si>
  <si>
    <t>Patronato Nacional de Rehabilitación (PANARE)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</si>
</sst>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5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5" fillId="0" borderId="8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ya\Desktop\CONTABILIDAD%20NACIONAL\A&#241;o%202021\I%20Trim%202021\Papeles%20de%20trabajo\14161T12021_ESTADO_BALANCE_COMPROBACION%20cuadrada%20nivel%208%20I%20trimest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Comprobacion"/>
      <sheetName val="Data"/>
    </sheetNames>
    <sheetDataSet>
      <sheetData sheetId="0">
        <row r="13">
          <cell r="G13">
            <v>870113975.99000001</v>
          </cell>
        </row>
        <row r="26">
          <cell r="G26">
            <v>95879</v>
          </cell>
        </row>
        <row r="31">
          <cell r="G31">
            <v>3137345.2800000007</v>
          </cell>
        </row>
        <row r="43">
          <cell r="G43">
            <v>1276956419.6799998</v>
          </cell>
        </row>
        <row r="48">
          <cell r="G48">
            <v>213151674.69</v>
          </cell>
        </row>
        <row r="57">
          <cell r="G57">
            <v>9570760</v>
          </cell>
        </row>
        <row r="62">
          <cell r="G62">
            <v>55911737.609999999</v>
          </cell>
        </row>
        <row r="68">
          <cell r="G68">
            <v>3926266.6199999996</v>
          </cell>
        </row>
        <row r="104">
          <cell r="G104">
            <v>63611296.640000001</v>
          </cell>
        </row>
        <row r="113">
          <cell r="G113">
            <v>143497.39000001492</v>
          </cell>
        </row>
        <row r="120">
          <cell r="G120">
            <v>1617091617.4300001</v>
          </cell>
        </row>
        <row r="123">
          <cell r="D123">
            <v>199989.6</v>
          </cell>
        </row>
        <row r="125">
          <cell r="D125">
            <v>431153058.33999997</v>
          </cell>
        </row>
        <row r="129">
          <cell r="D129">
            <v>1281546549.03</v>
          </cell>
        </row>
        <row r="131">
          <cell r="D131">
            <v>39798872.75</v>
          </cell>
        </row>
        <row r="133">
          <cell r="D133">
            <v>-129541266.27</v>
          </cell>
        </row>
        <row r="135">
          <cell r="D135">
            <v>-109609253.43000001</v>
          </cell>
        </row>
        <row r="139">
          <cell r="D139">
            <v>16267079.300000001</v>
          </cell>
        </row>
        <row r="141">
          <cell r="D141">
            <v>-5574386.5099999998</v>
          </cell>
        </row>
        <row r="145">
          <cell r="D145">
            <v>60015916</v>
          </cell>
        </row>
        <row r="147">
          <cell r="D147">
            <v>7112787.6399999997</v>
          </cell>
        </row>
        <row r="149">
          <cell r="D149">
            <v>-54014324.399999999</v>
          </cell>
        </row>
        <row r="153">
          <cell r="D153">
            <v>6178674.75</v>
          </cell>
        </row>
        <row r="155">
          <cell r="D155">
            <v>-5523612.8999999994</v>
          </cell>
          <cell r="F155">
            <v>8847.56</v>
          </cell>
        </row>
        <row r="158">
          <cell r="D158">
            <v>100120</v>
          </cell>
        </row>
        <row r="161">
          <cell r="D161">
            <v>12263849.369999999</v>
          </cell>
        </row>
        <row r="163">
          <cell r="D163">
            <v>-6666439.54</v>
          </cell>
          <cell r="F163">
            <v>211365.1</v>
          </cell>
        </row>
        <row r="166">
          <cell r="D166">
            <v>5433620</v>
          </cell>
        </row>
        <row r="168">
          <cell r="D168">
            <v>-3196153.32</v>
          </cell>
          <cell r="F168">
            <v>121498.23</v>
          </cell>
        </row>
        <row r="172">
          <cell r="D172">
            <v>21994266.920000002</v>
          </cell>
        </row>
        <row r="174">
          <cell r="D174">
            <v>503131.4</v>
          </cell>
        </row>
        <row r="176">
          <cell r="D176">
            <v>-4328318.2300000004</v>
          </cell>
        </row>
        <row r="178">
          <cell r="D178">
            <v>-11477578.889999999</v>
          </cell>
          <cell r="F178">
            <v>452547</v>
          </cell>
        </row>
        <row r="181">
          <cell r="D181">
            <v>35075903.740000002</v>
          </cell>
        </row>
        <row r="183">
          <cell r="D183">
            <v>-21626942.41</v>
          </cell>
          <cell r="F183">
            <v>465457.81</v>
          </cell>
        </row>
        <row r="186">
          <cell r="D186">
            <v>3312077.43</v>
          </cell>
        </row>
        <row r="188">
          <cell r="D188">
            <v>-1468819.75</v>
          </cell>
          <cell r="F188">
            <v>62843.13</v>
          </cell>
        </row>
        <row r="191">
          <cell r="D191">
            <v>62795</v>
          </cell>
        </row>
        <row r="193">
          <cell r="D193">
            <v>-53538.5</v>
          </cell>
          <cell r="F193">
            <v>445.5</v>
          </cell>
        </row>
        <row r="196">
          <cell r="D196">
            <v>12628252.710000001</v>
          </cell>
        </row>
        <row r="198">
          <cell r="D198">
            <v>-2411020.27</v>
          </cell>
          <cell r="F198">
            <v>104572.1</v>
          </cell>
        </row>
        <row r="202">
          <cell r="D202">
            <v>116941180.34</v>
          </cell>
        </row>
        <row r="204">
          <cell r="D204">
            <v>-71618038.840000004</v>
          </cell>
          <cell r="F204">
            <v>3527530.59</v>
          </cell>
        </row>
        <row r="207">
          <cell r="D207">
            <v>1596405.89</v>
          </cell>
        </row>
        <row r="209">
          <cell r="D209">
            <v>-964365.86</v>
          </cell>
          <cell r="F209">
            <v>68733.72</v>
          </cell>
        </row>
        <row r="212">
          <cell r="D212">
            <v>98000</v>
          </cell>
        </row>
        <row r="214">
          <cell r="D214">
            <v>-88200</v>
          </cell>
        </row>
        <row r="217">
          <cell r="D217">
            <v>1632881.06</v>
          </cell>
        </row>
        <row r="219">
          <cell r="D219">
            <v>-1092277.67</v>
          </cell>
          <cell r="F219">
            <v>28060.41</v>
          </cell>
        </row>
        <row r="222">
          <cell r="D222">
            <v>7791114.6700000009</v>
          </cell>
        </row>
        <row r="224">
          <cell r="D224">
            <v>-6644148.5300000003</v>
          </cell>
          <cell r="F224">
            <v>247276.16</v>
          </cell>
        </row>
        <row r="227">
          <cell r="D227">
            <v>16942254.870000001</v>
          </cell>
        </row>
        <row r="229">
          <cell r="D229">
            <v>-12804054.65</v>
          </cell>
          <cell r="F229">
            <v>115492.86</v>
          </cell>
        </row>
        <row r="233">
          <cell r="D233">
            <v>222085</v>
          </cell>
        </row>
        <row r="235">
          <cell r="D235">
            <v>-199876.5</v>
          </cell>
        </row>
        <row r="238">
          <cell r="D238">
            <v>203500</v>
          </cell>
        </row>
        <row r="240">
          <cell r="D240">
            <v>-140302.5</v>
          </cell>
        </row>
        <row r="244">
          <cell r="D244">
            <v>42940</v>
          </cell>
        </row>
        <row r="246">
          <cell r="D246">
            <v>-17390.7</v>
          </cell>
          <cell r="F246">
            <v>966.15</v>
          </cell>
        </row>
        <row r="249">
          <cell r="D249">
            <v>1196300</v>
          </cell>
        </row>
        <row r="251">
          <cell r="D251">
            <v>-898402.59000000008</v>
          </cell>
          <cell r="F251">
            <v>51764.61</v>
          </cell>
        </row>
        <row r="254">
          <cell r="D254">
            <v>390038</v>
          </cell>
        </row>
        <row r="256">
          <cell r="D256">
            <v>-284877.47000000003</v>
          </cell>
          <cell r="F256">
            <v>4222.7700000000004</v>
          </cell>
        </row>
        <row r="260">
          <cell r="D260">
            <v>1021520</v>
          </cell>
        </row>
        <row r="262">
          <cell r="D262">
            <v>-317136.09000000003</v>
          </cell>
        </row>
        <row r="265">
          <cell r="D265">
            <v>1032566.5</v>
          </cell>
        </row>
        <row r="267">
          <cell r="D267">
            <v>-797681.54</v>
          </cell>
        </row>
        <row r="271">
          <cell r="D271">
            <v>1462041.63</v>
          </cell>
        </row>
        <row r="273">
          <cell r="D273">
            <v>-406024.17</v>
          </cell>
          <cell r="F273">
            <v>24666.87</v>
          </cell>
        </row>
        <row r="276">
          <cell r="D276">
            <v>546905.88</v>
          </cell>
        </row>
        <row r="278">
          <cell r="D278">
            <v>-102544.75</v>
          </cell>
          <cell r="F278">
            <v>12305.37</v>
          </cell>
        </row>
        <row r="281">
          <cell r="D281">
            <v>252857.42</v>
          </cell>
        </row>
        <row r="283">
          <cell r="D283">
            <v>-49307.18</v>
          </cell>
          <cell r="F283">
            <v>11378.58</v>
          </cell>
        </row>
        <row r="285">
          <cell r="G285">
            <v>41497262.800000004</v>
          </cell>
        </row>
        <row r="288">
          <cell r="D288">
            <v>56383293.260000005</v>
          </cell>
        </row>
        <row r="291">
          <cell r="D291">
            <v>-11401178.799999999</v>
          </cell>
        </row>
        <row r="295">
          <cell r="D295">
            <v>383153</v>
          </cell>
        </row>
        <row r="299">
          <cell r="G299">
            <v>454276616.25</v>
          </cell>
        </row>
        <row r="305">
          <cell r="G305">
            <v>3560125.78</v>
          </cell>
        </row>
        <row r="313">
          <cell r="G313">
            <v>105172139.81999986</v>
          </cell>
        </row>
        <row r="318">
          <cell r="G318">
            <v>120774606.72999999</v>
          </cell>
        </row>
        <row r="346">
          <cell r="G346">
            <v>250022974</v>
          </cell>
        </row>
        <row r="363">
          <cell r="G363">
            <v>3926247.0800000005</v>
          </cell>
        </row>
        <row r="368">
          <cell r="G368">
            <v>73452942.730000004</v>
          </cell>
        </row>
        <row r="374">
          <cell r="G374">
            <v>1203503476.95</v>
          </cell>
        </row>
        <row r="387">
          <cell r="G387">
            <v>78022.11</v>
          </cell>
        </row>
        <row r="396">
          <cell r="G396">
            <v>721977.89</v>
          </cell>
        </row>
        <row r="402">
          <cell r="G402">
            <v>478064718.72999996</v>
          </cell>
        </row>
        <row r="408">
          <cell r="G408">
            <v>2415791124.0599999</v>
          </cell>
        </row>
        <row r="420">
          <cell r="G420">
            <v>1.04</v>
          </cell>
        </row>
        <row r="427">
          <cell r="G427">
            <v>551760903.84000003</v>
          </cell>
        </row>
        <row r="438">
          <cell r="G438">
            <v>127611.76</v>
          </cell>
        </row>
        <row r="456">
          <cell r="G456">
            <v>378521.29</v>
          </cell>
        </row>
        <row r="464">
          <cell r="G464">
            <v>103344719.05</v>
          </cell>
        </row>
        <row r="481">
          <cell r="G481">
            <v>2089142.04</v>
          </cell>
        </row>
        <row r="494">
          <cell r="G494">
            <v>92491172.609999999</v>
          </cell>
        </row>
        <row r="517">
          <cell r="G517">
            <v>49207523.189999998</v>
          </cell>
        </row>
        <row r="534">
          <cell r="G534">
            <v>20989830.850000001</v>
          </cell>
        </row>
        <row r="553">
          <cell r="G553">
            <v>29187.9</v>
          </cell>
        </row>
        <row r="558">
          <cell r="G558">
            <v>3606419</v>
          </cell>
        </row>
        <row r="579">
          <cell r="G579">
            <v>664966.28</v>
          </cell>
        </row>
        <row r="600">
          <cell r="G600">
            <v>6740466.9800000004</v>
          </cell>
        </row>
        <row r="630">
          <cell r="G630">
            <v>1648829.52</v>
          </cell>
        </row>
        <row r="649">
          <cell r="G649">
            <v>1050751.69</v>
          </cell>
        </row>
        <row r="675">
          <cell r="G675">
            <v>25449.7</v>
          </cell>
        </row>
        <row r="688">
          <cell r="G688">
            <v>498775.36</v>
          </cell>
        </row>
        <row r="702">
          <cell r="G702">
            <v>62000.770000000004</v>
          </cell>
        </row>
        <row r="724">
          <cell r="G724">
            <v>17701379.91</v>
          </cell>
        </row>
        <row r="727">
          <cell r="E727">
            <v>4512624.0599999996</v>
          </cell>
        </row>
        <row r="730">
          <cell r="E730">
            <v>235253.47</v>
          </cell>
        </row>
        <row r="733">
          <cell r="E733">
            <v>3544170.4</v>
          </cell>
        </row>
        <row r="745">
          <cell r="E745">
            <v>2216.25</v>
          </cell>
        </row>
        <row r="751">
          <cell r="E751">
            <v>19136.55</v>
          </cell>
        </row>
        <row r="758">
          <cell r="E758">
            <v>2038342.53</v>
          </cell>
        </row>
        <row r="761">
          <cell r="E761">
            <v>1829662.13</v>
          </cell>
        </row>
        <row r="765">
          <cell r="G765">
            <v>2327335</v>
          </cell>
        </row>
        <row r="793">
          <cell r="G793">
            <v>285809859.57999998</v>
          </cell>
        </row>
        <row r="814">
          <cell r="G814">
            <v>264724.07</v>
          </cell>
        </row>
        <row r="831">
          <cell r="G831">
            <v>2178259.37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view="pageBreakPreview" topLeftCell="A52" zoomScaleNormal="100" zoomScaleSheetLayoutView="100" workbookViewId="0">
      <selection activeCell="D13" sqref="D13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61" t="str">
        <f ca="1">Data!N1</f>
        <v xml:space="preserve">Consejo Nacional de Investigaciones Científicas y Tecnológicas (CONICIT) </v>
      </c>
      <c r="B1" s="161"/>
      <c r="C1" s="161"/>
      <c r="D1" s="161"/>
      <c r="E1" s="161"/>
    </row>
    <row r="2" spans="1:6" ht="18" customHeight="1" x14ac:dyDescent="0.25">
      <c r="A2" s="161" t="s">
        <v>0</v>
      </c>
      <c r="B2" s="161"/>
      <c r="C2" s="161"/>
      <c r="D2" s="161"/>
      <c r="E2" s="161"/>
      <c r="F2" s="39"/>
    </row>
    <row r="3" spans="1:6" ht="18" customHeight="1" x14ac:dyDescent="0.25">
      <c r="A3" s="161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31 de Marzo de 2021</v>
      </c>
      <c r="B3" s="161"/>
      <c r="C3" s="161"/>
      <c r="D3" s="161"/>
      <c r="E3" s="161"/>
    </row>
    <row r="4" spans="1:6" ht="18" customHeight="1" x14ac:dyDescent="0.25">
      <c r="A4" s="162" t="s">
        <v>1583</v>
      </c>
      <c r="B4" s="162"/>
      <c r="C4" s="162"/>
      <c r="D4" s="162"/>
      <c r="E4" s="162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2021</v>
      </c>
      <c r="E6" s="90" t="str">
        <f ca="1">"Año "&amp;Data!C2-1</f>
        <v>Año 2020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870113.97599000006</v>
      </c>
      <c r="E10" s="62">
        <f>SUM(E11:E12)</f>
        <v>1045065.49816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f>+[1]BalanceComprobacion!$G$13/1000</f>
        <v>870113.97599000006</v>
      </c>
      <c r="E11" s="160">
        <f>1045065498.16/1000</f>
        <v>1045065.49816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160">
        <v>0</v>
      </c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1558823.8162599998</v>
      </c>
      <c r="E19" s="62">
        <f>SUM(E20:E34)</f>
        <v>2139431.7735199998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160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>
        <f>+[1]BalanceComprobacion!$G$26/1000</f>
        <v>95.879000000000005</v>
      </c>
      <c r="E21" s="160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160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f>+[1]BalanceComprobacion!$G$31/1000</f>
        <v>3137.3452800000009</v>
      </c>
      <c r="E23" s="160">
        <f>40.49/1000</f>
        <v>4.0490000000000005E-2</v>
      </c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160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>
        <f>+[1]BalanceComprobacion!$G$43/1000</f>
        <v>1276956.4196799998</v>
      </c>
      <c r="E25" s="160">
        <f>2031408674.63/1000</f>
        <v>2031408.67463</v>
      </c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160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f>+[1]BalanceComprobacion!$G$48/1000</f>
        <v>213151.67468999999</v>
      </c>
      <c r="E27" s="160">
        <f>98091972.23/1000</f>
        <v>98091.972229999999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160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160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160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160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160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f>+[1]BalanceComprobacion!$G$57/1000</f>
        <v>9570.76</v>
      </c>
      <c r="E33" s="160">
        <f>9570760/1000</f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f>+[1]BalanceComprobacion!$G$62/1000</f>
        <v>55911.737609999996</v>
      </c>
      <c r="E34" s="160">
        <f>360326.17/1000</f>
        <v>360.32616999999999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3926.2666199999994</v>
      </c>
      <c r="E35" s="62">
        <f>SUM(E36:E40)</f>
        <v>3481.6288999999997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f>+[1]BalanceComprobacion!$G$68/1000</f>
        <v>3926.2666199999994</v>
      </c>
      <c r="E36" s="160">
        <f>3481628.9/1000</f>
        <v>3481.6288999999997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160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160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160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160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63754.794030000012</v>
      </c>
      <c r="E41" s="62">
        <f>SUM(E42:E44)</f>
        <v>1878.95984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f>+[1]BalanceComprobacion!$G$104/1000</f>
        <v>63611.29664</v>
      </c>
      <c r="E42" s="160">
        <f>1804556.96/1000</f>
        <v>1804.5569599999999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f>+[1]BalanceComprobacion!$G$113/1000</f>
        <v>143.49739000001492</v>
      </c>
      <c r="E43" s="160">
        <f>74402.88/1000</f>
        <v>74.40288000000001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160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2496618.8528999998</v>
      </c>
      <c r="E45" s="76">
        <f>+E41++E35+E19+E13+E10</f>
        <v>3189857.8604199998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1658588.88023</v>
      </c>
      <c r="E62" s="62">
        <f>SUM(E63:E71)</f>
        <v>1666616.4262699999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f>+[1]BalanceComprobacion!$G$120/1000</f>
        <v>1617091.6174300001</v>
      </c>
      <c r="E63" s="160">
        <f>1637091524.03/1000</f>
        <v>1637091.52403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160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160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160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160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160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160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f>+[1]BalanceComprobacion!$G$285/1000</f>
        <v>41497.262800000004</v>
      </c>
      <c r="E70" s="160">
        <f>29524902.24/1000</f>
        <v>29524.902239999999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160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454276.61625000002</v>
      </c>
      <c r="E79" s="62">
        <f>SUM(E80:E83)</f>
        <v>489046.04272000003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160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160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160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160">
        <f>+[1]BalanceComprobacion!$G$299/1000</f>
        <v>454276.61625000002</v>
      </c>
      <c r="E83" s="160">
        <f>489046042.72/1000</f>
        <v>489046.04272000003</v>
      </c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3560.1257799999998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160">
        <f>+[1]BalanceComprobacion!$G$305/1000</f>
        <v>3560.1257799999998</v>
      </c>
      <c r="E87" s="160">
        <f>3560125.78/1000</f>
        <v>3560.1257799999998</v>
      </c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2116425.6222600001</v>
      </c>
      <c r="E88" s="76">
        <f>+E84+E79+E72+E62+E54+E48</f>
        <v>2159222.5947699999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4613044.4751599999</v>
      </c>
      <c r="E89" s="78">
        <f>+E88+E45</f>
        <v>5349080.4551899992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475969.72054999985</v>
      </c>
      <c r="E93" s="62">
        <f>SUM(E94:E103)</f>
        <v>322599.88394000003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f>+[1]BalanceComprobacion!$G$313/1000</f>
        <v>105172.13981999987</v>
      </c>
      <c r="E94" s="160">
        <f>267254277.49/1000</f>
        <v>267254.27749000001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f>+[1]BalanceComprobacion!$G$318/1000</f>
        <v>120774.60672999998</v>
      </c>
      <c r="E95" s="160">
        <f>55345606.45/1000</f>
        <v>55345.606450000007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>
        <f>+[1]BalanceComprobacion!$G$346/1000</f>
        <v>250022.97399999999</v>
      </c>
      <c r="E96" s="66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66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77379.189810000011</v>
      </c>
      <c r="E110" s="62">
        <f>SUM(E111:E114)</f>
        <v>133689.50898000001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>
        <f>+[1]BalanceComprobacion!$G$363/1000</f>
        <v>3926.2470800000006</v>
      </c>
      <c r="E111" s="160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160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/>
      <c r="E113" s="160">
        <f>4939508.98/1000</f>
        <v>4939.5089800000005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>
        <f>+[1]BalanceComprobacion!$G$368/1000</f>
        <v>73452.94273000001</v>
      </c>
      <c r="E114" s="160">
        <f>128750000/1000</f>
        <v>128750</v>
      </c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1203503.47695</v>
      </c>
      <c r="E118" s="62">
        <f>SUM(E119:E121)</f>
        <v>1992684.0977999999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>
        <f>+[1]BalanceComprobacion!$G$374/1000</f>
        <v>1203503.47695</v>
      </c>
      <c r="E119" s="160">
        <f>1992694859.37/1000</f>
        <v>1992694.85937</v>
      </c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160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>
        <v>0</v>
      </c>
      <c r="E121" s="160">
        <f>-10761.57/1000</f>
        <v>-10.761569999999999</v>
      </c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1756852.3873099997</v>
      </c>
      <c r="E122" s="76">
        <f>+E118+E115+E110+E104+E93</f>
        <v>2448973.4907200001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1756852.3873099997</v>
      </c>
      <c r="E148" s="78">
        <f>+E147+E122</f>
        <v>2448973.4907200001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800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f>+[1]BalanceComprobacion!$G$387/1000</f>
        <v>78.022109999999998</v>
      </c>
      <c r="E153" s="160">
        <f>78022.11/1000</f>
        <v>78.022109999999998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f>+[1]BalanceComprobacion!$G$396/1000</f>
        <v>721.97789</v>
      </c>
      <c r="E154" s="160">
        <f>721977.89/1000</f>
        <v>721.97789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478064.71872999996</v>
      </c>
      <c r="E158" s="62">
        <f>SUM(E159:E160)</f>
        <v>470951.93108999997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f>+[1]BalanceComprobacion!$G$402/1000</f>
        <v>478064.71872999996</v>
      </c>
      <c r="E159" s="160">
        <f>470951931.09/1000</f>
        <v>470951.93108999997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2377327.3691199999</v>
      </c>
      <c r="E166" s="62">
        <f>SUM(E167:E168)</f>
        <v>2428355.0333899995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f>+[1]BalanceComprobacion!$G$408/1000</f>
        <v>2415791.1240599998</v>
      </c>
      <c r="E167" s="160">
        <v>2452353.5029699998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f>+EstadoResultados_Rendimiento!D228</f>
        <v>-38463.754940000013</v>
      </c>
      <c r="E168" s="160">
        <v>-23998.469580000034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2856192.0878499998</v>
      </c>
      <c r="E178" s="76">
        <f>+E173+E170+E166+E161+E158+E155+E152</f>
        <v>2900106.9644799996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4613044.475159999</v>
      </c>
      <c r="E179" s="78">
        <f>+E178+E148</f>
        <v>5349080.4551999997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1.0000541806221008E-5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zoomScale="110" zoomScaleNormal="100" zoomScaleSheetLayoutView="110" workbookViewId="0">
      <selection activeCell="D12" sqref="D12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61" t="str">
        <f ca="1">Data!N1</f>
        <v xml:space="preserve">Consejo Nacional de Investigaciones Científicas y Tecnológicas (CONICIT) </v>
      </c>
      <c r="B1" s="161"/>
      <c r="C1" s="161"/>
      <c r="D1" s="161"/>
      <c r="E1" s="161"/>
      <c r="F1" s="38"/>
    </row>
    <row r="2" spans="1:6" ht="18" customHeight="1" x14ac:dyDescent="0.25">
      <c r="A2" s="161" t="s">
        <v>375</v>
      </c>
      <c r="B2" s="161"/>
      <c r="C2" s="161"/>
      <c r="D2" s="161"/>
      <c r="E2" s="161"/>
      <c r="F2" s="39"/>
    </row>
    <row r="3" spans="1:6" ht="18" customHeight="1" x14ac:dyDescent="0.25">
      <c r="A3" s="161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31 de Marzo de 2021</v>
      </c>
      <c r="B3" s="161"/>
      <c r="C3" s="161"/>
      <c r="D3" s="161"/>
      <c r="E3" s="161"/>
      <c r="F3" s="38"/>
    </row>
    <row r="4" spans="1:6" ht="18" customHeight="1" x14ac:dyDescent="0.25">
      <c r="A4" s="162" t="s">
        <v>1583</v>
      </c>
      <c r="B4" s="162"/>
      <c r="C4" s="162"/>
      <c r="D4" s="162"/>
      <c r="E4" s="162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2021</v>
      </c>
      <c r="E6" s="110" t="str">
        <f ca="1">"Año "&amp;Data!C2-1</f>
        <v>Año 2020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1.0400000000000001E-3</v>
      </c>
      <c r="E74" s="62">
        <f>SUM(E75:E77)</f>
        <v>1.3500000000000001E-3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f>+[1]BalanceComprobacion!$G$420/1000</f>
        <v>1.0400000000000001E-3</v>
      </c>
      <c r="E75" s="66">
        <f>1.35/1000</f>
        <v>1.3500000000000001E-3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551760.90384000004</v>
      </c>
      <c r="E90" s="62">
        <f>SUM(E91:E93)</f>
        <v>307140.85070999997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f>+[1]BalanceComprobacion!$G$427/1000</f>
        <v>551760.90384000004</v>
      </c>
      <c r="E92" s="66">
        <f>307140850.71/1000</f>
        <v>307140.85070999997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127.61175999999999</v>
      </c>
      <c r="E99" s="62">
        <f>SUM(E100:E105)</f>
        <v>1323.41354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f>+[1]BalanceComprobacion!$G$438/1000</f>
        <v>127.61175999999999</v>
      </c>
      <c r="E100" s="66">
        <f>1323413.54/1000</f>
        <v>1323.41354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0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/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0</v>
      </c>
      <c r="E124" s="62">
        <f>SUM(E125)</f>
        <v>1599.1613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>
        <v>0</v>
      </c>
      <c r="E125" s="66">
        <f>1599161.3/1000</f>
        <v>1599.1613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378.52128999999996</v>
      </c>
      <c r="E127" s="62">
        <f>SUM(E128)</f>
        <v>0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>
        <f>+[1]BalanceComprobacion!$G$456/1000</f>
        <v>378.52128999999996</v>
      </c>
      <c r="E128" s="66"/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552267.03792999999</v>
      </c>
      <c r="E129" s="78">
        <f>+E127+E124+E119+E115+E109+E106+E99+E94+E90+E82+E78+E74+E71+E61+E58+E54+E51+E48+E45+E40+E37+E33+E30+E26+E22+E15+E10</f>
        <v>310063.42689999996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268122.38774000003</v>
      </c>
      <c r="E133" s="62">
        <f>SUM(E134:E141)</f>
        <v>243402.44479000004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f>+[1]BalanceComprobacion!$G$464/1000</f>
        <v>103344.71905</v>
      </c>
      <c r="E134" s="66">
        <f>101039575.82/1000</f>
        <v>101039.57582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f>+[1]BalanceComprobacion!$G$481/1000</f>
        <v>2089.1420400000002</v>
      </c>
      <c r="E135" s="66">
        <f>1193795.44/1000</f>
        <v>1193.7954399999999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f>+[1]BalanceComprobacion!$G$494/1000</f>
        <v>92491.172609999994</v>
      </c>
      <c r="E136" s="66">
        <f>79985418.18/1000</f>
        <v>79985.418180000008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f>+[1]BalanceComprobacion!$G$517/1000</f>
        <v>49207.52319</v>
      </c>
      <c r="E137" s="66">
        <f>42063936.04/1000</f>
        <v>42063.936040000001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f>+[1]BalanceComprobacion!$G$534/1000</f>
        <v>20989.830850000002</v>
      </c>
      <c r="E138" s="66">
        <f>19119719.31/1000</f>
        <v>19119.71931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66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13740.621370000001</v>
      </c>
      <c r="E142" s="62">
        <f>SUM(E143:E151)</f>
        <v>21084.775440000001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f>+[1]BalanceComprobacion!$G$553/1000</f>
        <v>29.187900000000003</v>
      </c>
      <c r="E143" s="66">
        <f>40863.05/1000</f>
        <v>40.863050000000001</v>
      </c>
    </row>
    <row r="144" spans="1:6" ht="18" customHeight="1" x14ac:dyDescent="0.25">
      <c r="A144" s="68" t="s">
        <v>671</v>
      </c>
      <c r="B144" s="100" t="s">
        <v>672</v>
      </c>
      <c r="C144" s="65"/>
      <c r="D144" s="66">
        <f>+[1]BalanceComprobacion!$G$558/1000</f>
        <v>3606.4189999999999</v>
      </c>
      <c r="E144" s="66">
        <f>4401793.92/1000</f>
        <v>4401.7939200000001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f>+[1]BalanceComprobacion!$G$579/1000</f>
        <v>664.96627999999998</v>
      </c>
      <c r="E145" s="66">
        <f>619256.89/1000</f>
        <v>619.25689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f>+[1]BalanceComprobacion!$G$600/1000</f>
        <v>6740.4669800000001</v>
      </c>
      <c r="E146" s="66">
        <f>13137519.98/1000</f>
        <v>13137.519980000001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>
        <v>0</v>
      </c>
      <c r="E147" s="66">
        <f>45600/1000</f>
        <v>45.6</v>
      </c>
    </row>
    <row r="148" spans="1:6" ht="18" customHeight="1" x14ac:dyDescent="0.25">
      <c r="A148" s="68" t="s">
        <v>679</v>
      </c>
      <c r="B148" s="100" t="s">
        <v>680</v>
      </c>
      <c r="C148" s="65"/>
      <c r="D148" s="66">
        <f>+[1]BalanceComprobacion!$G$630/1000</f>
        <v>1648.82952</v>
      </c>
      <c r="E148" s="66">
        <f>1518369.04/1000</f>
        <v>1518.36904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/>
      <c r="E149" s="66"/>
    </row>
    <row r="150" spans="1:6" ht="18" customHeight="1" x14ac:dyDescent="0.25">
      <c r="A150" s="68" t="s">
        <v>683</v>
      </c>
      <c r="B150" s="100" t="s">
        <v>684</v>
      </c>
      <c r="C150" s="65"/>
      <c r="D150" s="66">
        <f>+[1]BalanceComprobacion!$G$649/1000</f>
        <v>1050.7516900000001</v>
      </c>
      <c r="E150" s="66">
        <f>1321372.56/1000</f>
        <v>1321.37256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586.22582999999997</v>
      </c>
      <c r="E152" s="62">
        <f>SUM(E153:E157)</f>
        <v>261.13269000000003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f>+[1]BalanceComprobacion!$G$675/1000</f>
        <v>25.4497</v>
      </c>
      <c r="E153" s="66">
        <f>85391.6/1000</f>
        <v>85.391600000000011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f>+[1]BalanceComprobacion!$G$688/1000</f>
        <v>498.77535999999998</v>
      </c>
      <c r="E155" s="66">
        <f>7871.68/1000</f>
        <v>7.8716800000000005</v>
      </c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f>+[1]BalanceComprobacion!$G$702/1000</f>
        <v>62.000770000000003</v>
      </c>
      <c r="E157" s="66">
        <f>167869.41/1000</f>
        <v>167.86941000000002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17701.37991</v>
      </c>
      <c r="E158" s="62">
        <f>SUM(E159:E160)</f>
        <v>12142.78369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f>+[1]BalanceComprobacion!$G$724/1000</f>
        <v>17701.37991</v>
      </c>
      <c r="E159" s="66">
        <f>12142783.69/1000</f>
        <v>12142.78369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0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/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2327.335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>
        <f>+[1]BalanceComprobacion!$G$765/1000</f>
        <v>2327.335</v>
      </c>
      <c r="E184" s="66">
        <v>0</v>
      </c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285809.85957999999</v>
      </c>
      <c r="E204" s="62">
        <f>SUM(E205:E207)</f>
        <v>6787.4786899999999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/>
      <c r="E205" s="66">
        <f>5407821/1000</f>
        <v>5407.8209999999999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f>+[1]BalanceComprobacion!$G$793/1000</f>
        <v>285809.85957999999</v>
      </c>
      <c r="E206" s="66">
        <f>1379657.69/1000</f>
        <v>1379.65769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/>
      <c r="E207" s="66"/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0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/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264.72406999999998</v>
      </c>
      <c r="E213" s="62">
        <f>SUM(E214:E219)</f>
        <v>461.37346000000002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f>+[1]BalanceComprobacion!$G$814/1000</f>
        <v>264.72406999999998</v>
      </c>
      <c r="E214" s="66">
        <f>461373.46/1000</f>
        <v>461.37346000000002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0</v>
      </c>
      <c r="E220" s="62">
        <f>SUM(E221:E222)</f>
        <v>49921.907719999996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/>
      <c r="E221" s="66">
        <f>49921907.72/1000</f>
        <v>49921.907719999996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2178.2593700000002</v>
      </c>
      <c r="E223" s="62">
        <f>SUM(E224:E226)</f>
        <v>0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>
        <f>+[1]BalanceComprobacion!$G$831/1000</f>
        <v>2178.2593700000002</v>
      </c>
      <c r="E226" s="66">
        <v>0</v>
      </c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590730.79287</v>
      </c>
      <c r="E227" s="78">
        <f>+E223+E220+E213+E208+E204+E195+E192+E189+E182+E177+E171+E168+E164+E161+E158+E152+E142+E133</f>
        <v>334061.89648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-38463.754940000013</v>
      </c>
      <c r="E228" s="109">
        <f>+E129-E227</f>
        <v>-23998.469580000034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0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9:E141 D151:E151 D153:D157 D160:E160 D163:E163 D165:E167 D169:E170 D172:E176 D178:E181 D183:E188 D190:E191 D193:E194 D196:E203 D207:E207 D209:E212 D215:E219 D222:E222 D224:E226 D134:D138 D143:D150 D159 D205:D206 D214 D221" name="Rango2"/>
    <protectedRange sqref="D11:E14 D16:E21 D23:E25 D27:E29 D31:E32 D34:E36 D38:E39 D41:E44 D46:E47 D49:E50 D52:E53 D55:E57 D59:E60 D62:E70 D72:E73 D76:E77 D79:E81 D83:E89 D91:E91 D95:E98 D101:E105 D107:E108 D110:E114 D116:E118 D120:E123 D126:E126 D128:E128 D75 D93:E93 D92 D100 D125" name="Rango1"/>
    <protectedRange sqref="B237:C237 A232:F232 B242" name="Rango2_1"/>
    <protectedRange sqref="E75" name="Rango1_1"/>
    <protectedRange sqref="E92" name="Rango1_2"/>
    <protectedRange sqref="E100" name="Rango1_3"/>
    <protectedRange sqref="E125" name="Rango1_4"/>
    <protectedRange sqref="E134:E138" name="Rango2_2"/>
    <protectedRange sqref="E143:E150" name="Rango2_3"/>
    <protectedRange sqref="E153:E157" name="Rango2_4"/>
    <protectedRange sqref="E159" name="Rango2_5"/>
    <protectedRange sqref="E205:E206" name="Rango2_6"/>
    <protectedRange sqref="E214" name="Rango2_7"/>
    <protectedRange sqref="E221" name="Rango2_8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abSelected="1" topLeftCell="A6" workbookViewId="0">
      <pane xSplit="2" ySplit="6" topLeftCell="P18" activePane="bottomRight" state="frozen"/>
      <selection activeCell="A6" sqref="A6"/>
      <selection pane="topRight" activeCell="C6" sqref="C6"/>
      <selection pane="bottomLeft" activeCell="A12" sqref="A12"/>
      <selection pane="bottomRight" activeCell="R16" sqref="R16:R23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63" t="str">
        <f ca="1">Data!N1</f>
        <v xml:space="preserve">Consejo Nacional de Investigaciones Científicas y Tecnológicas (CONICIT) 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5"/>
      <c r="W2" s="5"/>
      <c r="X2" s="5"/>
    </row>
    <row r="3" spans="1:24" s="4" customFormat="1" ht="15.75" x14ac:dyDescent="0.25">
      <c r="A3" s="163" t="s">
        <v>853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5"/>
      <c r="W3" s="5"/>
      <c r="X3" s="5"/>
    </row>
    <row r="4" spans="1:24" s="4" customFormat="1" ht="15.75" x14ac:dyDescent="0.25">
      <c r="A4" s="163" t="str">
        <f ca="1">+EstadoResultados_Rendimiento!A3</f>
        <v>Del 01 de Enero de 2021 al 31 de Marzo de 2021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5"/>
      <c r="W4" s="5"/>
      <c r="X4" s="5"/>
    </row>
    <row r="5" spans="1:24" s="4" customFormat="1" ht="15.75" x14ac:dyDescent="0.25">
      <c r="A5" s="164" t="s">
        <v>1584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65" t="s">
        <v>1590</v>
      </c>
      <c r="B7" s="165" t="s">
        <v>854</v>
      </c>
      <c r="C7" s="166" t="s">
        <v>855</v>
      </c>
      <c r="D7" s="167"/>
      <c r="E7" s="167"/>
      <c r="F7" s="167"/>
      <c r="G7" s="168"/>
      <c r="H7" s="169" t="s">
        <v>856</v>
      </c>
      <c r="I7" s="170"/>
      <c r="J7" s="170"/>
      <c r="K7" s="170"/>
      <c r="L7" s="170"/>
      <c r="M7" s="170"/>
      <c r="N7" s="171"/>
      <c r="O7" s="172" t="s">
        <v>1591</v>
      </c>
      <c r="P7" s="173" t="s">
        <v>857</v>
      </c>
      <c r="Q7" s="174"/>
      <c r="R7" s="174"/>
      <c r="S7" s="174"/>
      <c r="T7" s="175"/>
      <c r="U7" s="172" t="s">
        <v>1592</v>
      </c>
    </row>
    <row r="8" spans="1:24" s="9" customFormat="1" ht="16.5" x14ac:dyDescent="0.25">
      <c r="A8" s="165"/>
      <c r="B8" s="165"/>
      <c r="C8" s="172" t="s">
        <v>858</v>
      </c>
      <c r="D8" s="172" t="s">
        <v>859</v>
      </c>
      <c r="E8" s="172" t="s">
        <v>860</v>
      </c>
      <c r="F8" s="172" t="s">
        <v>861</v>
      </c>
      <c r="G8" s="172" t="s">
        <v>1593</v>
      </c>
      <c r="H8" s="177" t="s">
        <v>862</v>
      </c>
      <c r="I8" s="177" t="s">
        <v>863</v>
      </c>
      <c r="J8" s="177" t="s">
        <v>859</v>
      </c>
      <c r="K8" s="177" t="s">
        <v>860</v>
      </c>
      <c r="L8" s="177" t="s">
        <v>861</v>
      </c>
      <c r="M8" s="177" t="s">
        <v>864</v>
      </c>
      <c r="N8" s="177" t="s">
        <v>1594</v>
      </c>
      <c r="O8" s="172"/>
      <c r="P8" s="176" t="s">
        <v>865</v>
      </c>
      <c r="Q8" s="176" t="s">
        <v>852</v>
      </c>
      <c r="R8" s="176" t="s">
        <v>863</v>
      </c>
      <c r="S8" s="176" t="s">
        <v>866</v>
      </c>
      <c r="T8" s="176" t="s">
        <v>867</v>
      </c>
      <c r="U8" s="172"/>
    </row>
    <row r="9" spans="1:24" s="9" customFormat="1" ht="16.5" x14ac:dyDescent="0.25">
      <c r="A9" s="165"/>
      <c r="B9" s="165"/>
      <c r="C9" s="172"/>
      <c r="D9" s="172"/>
      <c r="E9" s="172"/>
      <c r="F9" s="172"/>
      <c r="G9" s="172"/>
      <c r="H9" s="177"/>
      <c r="I9" s="177"/>
      <c r="J9" s="177"/>
      <c r="K9" s="177"/>
      <c r="L9" s="177"/>
      <c r="M9" s="177"/>
      <c r="N9" s="177"/>
      <c r="O9" s="172"/>
      <c r="P9" s="176"/>
      <c r="Q9" s="176"/>
      <c r="R9" s="176"/>
      <c r="S9" s="176"/>
      <c r="T9" s="176"/>
      <c r="U9" s="172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1606451.6851099997</v>
      </c>
      <c r="D11" s="18">
        <f>SUM(D12:D23)</f>
        <v>0</v>
      </c>
      <c r="E11" s="147">
        <f>SUM(E12:E23)</f>
        <v>478567.85012999998</v>
      </c>
      <c r="F11" s="147">
        <f t="shared" ref="F11:T11" si="0">SUM(F12:F23)</f>
        <v>113937.57166000002</v>
      </c>
      <c r="G11" s="147">
        <f>SUM(G12:G23)</f>
        <v>1971081.9635799997</v>
      </c>
      <c r="H11" s="18">
        <f t="shared" si="0"/>
        <v>0</v>
      </c>
      <c r="I11" s="18">
        <f t="shared" si="0"/>
        <v>-17521.830000000002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47">
        <f t="shared" si="0"/>
        <v>-17521.830000000002</v>
      </c>
      <c r="O11" s="147">
        <f t="shared" si="0"/>
        <v>1953560.1335800001</v>
      </c>
      <c r="P11" s="18">
        <f t="shared" si="0"/>
        <v>-337978.71179999999</v>
      </c>
      <c r="Q11" s="18">
        <f t="shared" si="0"/>
        <v>-13833.375249999999</v>
      </c>
      <c r="R11" s="18">
        <f t="shared" si="0"/>
        <v>-15343.570900000001</v>
      </c>
      <c r="S11" s="147">
        <f t="shared" si="0"/>
        <v>1510.1956500000008</v>
      </c>
      <c r="T11" s="147">
        <f t="shared" si="0"/>
        <v>-336468.51614999998</v>
      </c>
      <c r="U11" s="147">
        <f>SUM(U12:U23)</f>
        <v>1617091.6174299996</v>
      </c>
    </row>
    <row r="12" spans="1:24" ht="24" customHeight="1" x14ac:dyDescent="0.25">
      <c r="A12" s="21" t="s">
        <v>1596</v>
      </c>
      <c r="B12" s="22" t="s">
        <v>870</v>
      </c>
      <c r="C12" s="23">
        <f>+[1]BalanceComprobacion!$D$123/1000</f>
        <v>199.9896</v>
      </c>
      <c r="D12" s="23"/>
      <c r="E12" s="148">
        <f>+[1]BalanceComprobacion!$D$125/1000</f>
        <v>431153.05833999999</v>
      </c>
      <c r="F12" s="148"/>
      <c r="G12" s="154">
        <f>+C12+D12+E12-F12</f>
        <v>431353.04793999996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431353.04793999996</v>
      </c>
      <c r="P12" s="23">
        <v>0</v>
      </c>
      <c r="Q12" s="23"/>
      <c r="R12" s="23"/>
      <c r="S12" s="158">
        <f>+Q12-R12</f>
        <v>0</v>
      </c>
      <c r="T12" s="158">
        <f>+P12+S12</f>
        <v>0</v>
      </c>
      <c r="U12" s="158">
        <f>+O12+T12</f>
        <v>431353.04793999996</v>
      </c>
    </row>
    <row r="13" spans="1:24" ht="24" customHeight="1" x14ac:dyDescent="0.25">
      <c r="A13" s="21" t="s">
        <v>1597</v>
      </c>
      <c r="B13" s="22" t="s">
        <v>871</v>
      </c>
      <c r="C13" s="23">
        <f>+[1]BalanceComprobacion!$D$129/1000</f>
        <v>1281546.5490299999</v>
      </c>
      <c r="D13" s="23"/>
      <c r="E13" s="148">
        <f>+[1]BalanceComprobacion!$D$131/1000</f>
        <v>39798.872750000002</v>
      </c>
      <c r="F13" s="148">
        <f>-[1]BalanceComprobacion!$D$135/1000</f>
        <v>109609.25343000001</v>
      </c>
      <c r="G13" s="154">
        <f>+C13+D13+E13-F13</f>
        <v>1211736.1683499999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1211736.1683499999</v>
      </c>
      <c r="P13" s="23">
        <f>+[1]BalanceComprobacion!$D$133/1000</f>
        <v>-129541.26626999999</v>
      </c>
      <c r="Q13" s="23">
        <f>-[1]BalanceComprobacion!$E$727/1000</f>
        <v>-4512.6240599999992</v>
      </c>
      <c r="R13" s="23"/>
      <c r="S13" s="158">
        <f t="shared" ref="S13:S41" si="3">+Q13-R13</f>
        <v>-4512.6240599999992</v>
      </c>
      <c r="T13" s="158">
        <f t="shared" ref="T13:T54" si="4">+P13+S13</f>
        <v>-134053.89032999999</v>
      </c>
      <c r="U13" s="158">
        <f t="shared" ref="U13:U54" si="5">+O13+T13</f>
        <v>1077682.2780199999</v>
      </c>
    </row>
    <row r="14" spans="1:24" ht="24" customHeight="1" x14ac:dyDescent="0.25">
      <c r="A14" s="21" t="s">
        <v>1598</v>
      </c>
      <c r="B14" s="22" t="s">
        <v>872</v>
      </c>
      <c r="C14" s="23">
        <f>+[1]BalanceComprobacion!$D$139/1000</f>
        <v>16267.079300000001</v>
      </c>
      <c r="D14" s="23"/>
      <c r="E14" s="148"/>
      <c r="F14" s="148"/>
      <c r="G14" s="154">
        <f t="shared" ref="G14:G54" si="6">+C14+D14+E14-F14</f>
        <v>16267.079300000001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16267.079300000001</v>
      </c>
      <c r="P14" s="23">
        <f>+[1]BalanceComprobacion!$D$141/1000</f>
        <v>-5574.3865099999994</v>
      </c>
      <c r="Q14" s="23">
        <f>-[1]BalanceComprobacion!$E$730/1000</f>
        <v>-235.25346999999999</v>
      </c>
      <c r="R14" s="23"/>
      <c r="S14" s="158">
        <f t="shared" si="3"/>
        <v>-235.25346999999999</v>
      </c>
      <c r="T14" s="158">
        <f t="shared" si="4"/>
        <v>-5809.639979999999</v>
      </c>
      <c r="U14" s="158">
        <f t="shared" si="5"/>
        <v>10457.439320000001</v>
      </c>
    </row>
    <row r="15" spans="1:24" ht="24" customHeight="1" x14ac:dyDescent="0.25">
      <c r="A15" s="21" t="s">
        <v>1599</v>
      </c>
      <c r="B15" s="22" t="s">
        <v>873</v>
      </c>
      <c r="C15" s="23">
        <f>+[1]BalanceComprobacion!$D$145/1000</f>
        <v>60015.915999999997</v>
      </c>
      <c r="D15" s="23"/>
      <c r="E15" s="148">
        <f>+[1]BalanceComprobacion!$D$147/1000</f>
        <v>7112.7876399999996</v>
      </c>
      <c r="F15" s="148"/>
      <c r="G15" s="154">
        <f>+C15+D15+E15-F15</f>
        <v>67128.703639999992</v>
      </c>
      <c r="H15" s="23"/>
      <c r="I15" s="23"/>
      <c r="J15" s="23"/>
      <c r="K15" s="23"/>
      <c r="L15" s="23"/>
      <c r="M15" s="23"/>
      <c r="N15" s="154">
        <f t="shared" si="1"/>
        <v>0</v>
      </c>
      <c r="O15" s="155">
        <f t="shared" si="2"/>
        <v>67128.703639999992</v>
      </c>
      <c r="P15" s="23">
        <f>+[1]BalanceComprobacion!$D$149/1000</f>
        <v>-54014.324399999998</v>
      </c>
      <c r="Q15" s="23">
        <f>-[1]BalanceComprobacion!$E$733/1000</f>
        <v>-3544.1704</v>
      </c>
      <c r="R15" s="23"/>
      <c r="S15" s="158">
        <f t="shared" si="3"/>
        <v>-3544.1704</v>
      </c>
      <c r="T15" s="158">
        <f t="shared" si="4"/>
        <v>-57558.4948</v>
      </c>
      <c r="U15" s="158">
        <f t="shared" si="5"/>
        <v>9570.2088399999921</v>
      </c>
    </row>
    <row r="16" spans="1:24" ht="24" customHeight="1" x14ac:dyDescent="0.25">
      <c r="A16" s="21" t="s">
        <v>1600</v>
      </c>
      <c r="B16" s="22" t="s">
        <v>874</v>
      </c>
      <c r="C16" s="23">
        <f>(+[1]BalanceComprobacion!$D$153+[1]BalanceComprobacion!$D$158+[1]BalanceComprobacion!$D$161+[1]BalanceComprobacion!$D$166)/1000</f>
        <v>23976.264119999996</v>
      </c>
      <c r="D16" s="23"/>
      <c r="E16" s="148"/>
      <c r="F16" s="148"/>
      <c r="G16" s="154">
        <f>+C16+D16+E16-F16</f>
        <v>23976.264119999996</v>
      </c>
      <c r="H16" s="23"/>
      <c r="I16" s="23">
        <f>(-4899362.24-103890)/1000</f>
        <v>-5003.2522399999998</v>
      </c>
      <c r="J16" s="23"/>
      <c r="K16" s="23"/>
      <c r="L16" s="23"/>
      <c r="M16" s="23"/>
      <c r="N16" s="154">
        <f t="shared" si="1"/>
        <v>-5003.2522399999998</v>
      </c>
      <c r="O16" s="155">
        <f t="shared" si="2"/>
        <v>18973.011879999998</v>
      </c>
      <c r="P16" s="23">
        <f>([1]BalanceComprobacion!$D$155+[1]BalanceComprobacion!$D$163+[1]BalanceComprobacion!$D$168)/1000</f>
        <v>-15386.205759999999</v>
      </c>
      <c r="Q16" s="23">
        <f>(-[1]BalanceComprobacion!$F$155-[1]BalanceComprobacion!$F$163-[1]BalanceComprobacion!$F$168)/1000</f>
        <v>-341.71089000000001</v>
      </c>
      <c r="R16" s="23">
        <v>-4502.92695</v>
      </c>
      <c r="S16" s="158">
        <f t="shared" si="3"/>
        <v>4161.2160599999997</v>
      </c>
      <c r="T16" s="158">
        <f t="shared" si="4"/>
        <v>-11224.989699999998</v>
      </c>
      <c r="U16" s="158">
        <f t="shared" si="5"/>
        <v>7748.0221799999999</v>
      </c>
    </row>
    <row r="17" spans="1:21" s="20" customFormat="1" ht="24" customHeight="1" x14ac:dyDescent="0.25">
      <c r="A17" s="21" t="s">
        <v>1601</v>
      </c>
      <c r="B17" s="22" t="s">
        <v>875</v>
      </c>
      <c r="C17" s="23">
        <f>(+[1]BalanceComprobacion!$D$172+[1]BalanceComprobacion!$D$181+[1]BalanceComprobacion!$D$186+[1]BalanceComprobacion!$D$191+[1]BalanceComprobacion!$D$196)/1000</f>
        <v>73073.295800000007</v>
      </c>
      <c r="D17" s="23"/>
      <c r="E17" s="148">
        <f>+[1]BalanceComprobacion!$D$174/1000</f>
        <v>503.13140000000004</v>
      </c>
      <c r="F17" s="148">
        <f>-[1]BalanceComprobacion!$D$176/1000</f>
        <v>4328.3182300000008</v>
      </c>
      <c r="G17" s="154">
        <f t="shared" si="6"/>
        <v>69248.108970000001</v>
      </c>
      <c r="H17" s="23"/>
      <c r="I17" s="23">
        <f>-1863896.91/1000</f>
        <v>-1863.8969099999999</v>
      </c>
      <c r="J17" s="23"/>
      <c r="K17" s="23"/>
      <c r="L17" s="23"/>
      <c r="M17" s="23"/>
      <c r="N17" s="154">
        <f t="shared" si="1"/>
        <v>-1863.8969099999999</v>
      </c>
      <c r="O17" s="155">
        <f t="shared" si="2"/>
        <v>67384.212060000005</v>
      </c>
      <c r="P17" s="23">
        <f>([1]BalanceComprobacion!$D$178+[1]BalanceComprobacion!$D$183+[1]BalanceComprobacion!$D$188+[1]BalanceComprobacion!$D$193+[1]BalanceComprobacion!$D$198)/1000</f>
        <v>-37037.899819999999</v>
      </c>
      <c r="Q17" s="23">
        <f>(-[1]BalanceComprobacion!$F$178-[1]BalanceComprobacion!$F$183-[1]BalanceComprobacion!$F$188-[1]BalanceComprobacion!$F$193-[1]BalanceComprobacion!$F$198)/1000</f>
        <v>-1085.86554</v>
      </c>
      <c r="R17" s="23">
        <v>-1677.5072500000001</v>
      </c>
      <c r="S17" s="158">
        <f>+Q17-R17</f>
        <v>591.6417100000001</v>
      </c>
      <c r="T17" s="158">
        <f t="shared" si="4"/>
        <v>-36446.258109999995</v>
      </c>
      <c r="U17" s="158">
        <f t="shared" si="5"/>
        <v>30937.95395000001</v>
      </c>
    </row>
    <row r="18" spans="1:21" s="20" customFormat="1" ht="24" customHeight="1" x14ac:dyDescent="0.25">
      <c r="A18" s="21" t="s">
        <v>1602</v>
      </c>
      <c r="B18" s="22" t="s">
        <v>876</v>
      </c>
      <c r="C18" s="23">
        <f>(+[1]BalanceComprobacion!$D$202+[1]BalanceComprobacion!$D$207+[1]BalanceComprobacion!$D$212+[1]BalanceComprobacion!$D$217+[1]BalanceComprobacion!$D$222+[1]BalanceComprobacion!$D$227)/1000</f>
        <v>145001.83683000001</v>
      </c>
      <c r="D18" s="23"/>
      <c r="E18" s="148"/>
      <c r="F18" s="148"/>
      <c r="G18" s="154">
        <f>+C18+D18+E18-F18</f>
        <v>145001.83683000001</v>
      </c>
      <c r="H18" s="23"/>
      <c r="I18" s="23">
        <f>(-9518316.25-402656-57307-308486.6)/1000</f>
        <v>-10286.76585</v>
      </c>
      <c r="J18" s="23"/>
      <c r="K18" s="23"/>
      <c r="L18" s="23"/>
      <c r="M18" s="23"/>
      <c r="N18" s="154">
        <f t="shared" si="1"/>
        <v>-10286.76585</v>
      </c>
      <c r="O18" s="155">
        <f t="shared" si="2"/>
        <v>134715.07098000002</v>
      </c>
      <c r="P18" s="23">
        <f>([1]BalanceComprobacion!$D$204+[1]BalanceComprobacion!$D$209+[1]BalanceComprobacion!$D$214+[1]BalanceComprobacion!$D$219+[1]BalanceComprobacion!$D$224+[1]BalanceComprobacion!$D$229)/1000</f>
        <v>-93211.085550000018</v>
      </c>
      <c r="Q18" s="23">
        <f>(-[1]BalanceComprobacion!$F$204-[1]BalanceComprobacion!$F$209-[1]BalanceComprobacion!$F$219-[1]BalanceComprobacion!$F$224-[1]BalanceComprobacion!$F$229)/1000</f>
        <v>-3987.0937400000003</v>
      </c>
      <c r="R18" s="23">
        <v>-8850.8974500000004</v>
      </c>
      <c r="S18" s="158">
        <f t="shared" si="3"/>
        <v>4863.8037100000001</v>
      </c>
      <c r="T18" s="158">
        <f t="shared" si="4"/>
        <v>-88347.281840000011</v>
      </c>
      <c r="U18" s="158">
        <f t="shared" si="5"/>
        <v>46367.789140000008</v>
      </c>
    </row>
    <row r="19" spans="1:21" s="20" customFormat="1" ht="24" customHeight="1" x14ac:dyDescent="0.25">
      <c r="A19" s="21" t="s">
        <v>1603</v>
      </c>
      <c r="B19" s="22" t="s">
        <v>877</v>
      </c>
      <c r="C19" s="23">
        <f>([1]BalanceComprobacion!$D$233+[1]BalanceComprobacion!$D$238)/1000</f>
        <v>425.58499999999998</v>
      </c>
      <c r="D19" s="23"/>
      <c r="E19" s="148"/>
      <c r="F19" s="148"/>
      <c r="G19" s="154">
        <f t="shared" si="6"/>
        <v>425.58499999999998</v>
      </c>
      <c r="H19" s="23"/>
      <c r="I19" s="23">
        <v>-1.6</v>
      </c>
      <c r="J19" s="23"/>
      <c r="K19" s="23"/>
      <c r="L19" s="23"/>
      <c r="M19" s="23"/>
      <c r="N19" s="154">
        <f t="shared" si="1"/>
        <v>-1.6</v>
      </c>
      <c r="O19" s="155">
        <f t="shared" si="2"/>
        <v>423.98499999999996</v>
      </c>
      <c r="P19" s="23">
        <f>([1]BalanceComprobacion!$D$235+[1]BalanceComprobacion!$D$240)/1000</f>
        <v>-340.17899999999997</v>
      </c>
      <c r="Q19" s="23">
        <f>-[1]BalanceComprobacion!$E$745/1000</f>
        <v>-2.2162500000000001</v>
      </c>
      <c r="R19" s="23">
        <v>-1.44</v>
      </c>
      <c r="S19" s="158">
        <f t="shared" si="3"/>
        <v>-0.77625000000000011</v>
      </c>
      <c r="T19" s="158">
        <f t="shared" si="4"/>
        <v>-340.95524999999998</v>
      </c>
      <c r="U19" s="158">
        <f t="shared" si="5"/>
        <v>83.029749999999979</v>
      </c>
    </row>
    <row r="20" spans="1:21" s="20" customFormat="1" ht="24" customHeight="1" x14ac:dyDescent="0.25">
      <c r="A20" s="21" t="s">
        <v>1604</v>
      </c>
      <c r="B20" s="22" t="s">
        <v>878</v>
      </c>
      <c r="C20" s="23">
        <f>([1]BalanceComprobacion!$D$244+[1]BalanceComprobacion!$D$249+[1]BalanceComprobacion!$D$254)/1000</f>
        <v>1629.278</v>
      </c>
      <c r="D20" s="23"/>
      <c r="E20" s="148"/>
      <c r="F20" s="148"/>
      <c r="G20" s="154">
        <f t="shared" si="6"/>
        <v>1629.278</v>
      </c>
      <c r="H20" s="23"/>
      <c r="I20" s="23">
        <f>-102430/1000</f>
        <v>-102.43</v>
      </c>
      <c r="J20" s="23"/>
      <c r="K20" s="23"/>
      <c r="L20" s="23"/>
      <c r="M20" s="23"/>
      <c r="N20" s="154">
        <f t="shared" si="1"/>
        <v>-102.43</v>
      </c>
      <c r="O20" s="155">
        <f t="shared" si="2"/>
        <v>1526.848</v>
      </c>
      <c r="P20" s="23">
        <f>([1]BalanceComprobacion!$D$246+[1]BalanceComprobacion!$D$251+[1]BalanceComprobacion!$D$256)/1000</f>
        <v>-1200.67076</v>
      </c>
      <c r="Q20" s="23">
        <f>(-[1]BalanceComprobacion!$F$246-[1]BalanceComprobacion!$F$251-[1]BalanceComprobacion!$F$256)/1000</f>
        <v>-56.953530000000001</v>
      </c>
      <c r="R20" s="23">
        <v>-92.186999999999998</v>
      </c>
      <c r="S20" s="158">
        <f t="shared" si="3"/>
        <v>35.233469999999997</v>
      </c>
      <c r="T20" s="158">
        <f t="shared" si="4"/>
        <v>-1165.4372900000001</v>
      </c>
      <c r="U20" s="158">
        <f t="shared" si="5"/>
        <v>361.41070999999988</v>
      </c>
    </row>
    <row r="21" spans="1:21" s="20" customFormat="1" ht="24" customHeight="1" x14ac:dyDescent="0.25">
      <c r="A21" s="21" t="s">
        <v>1605</v>
      </c>
      <c r="B21" s="22" t="s">
        <v>879</v>
      </c>
      <c r="C21" s="23">
        <f>([1]BalanceComprobacion!$D$260+[1]BalanceComprobacion!$D$265)/1000</f>
        <v>2054.0864999999999</v>
      </c>
      <c r="D21" s="23"/>
      <c r="E21" s="148"/>
      <c r="F21" s="148"/>
      <c r="G21" s="154">
        <f>+C21+D21+E21-F21</f>
        <v>2054.0864999999999</v>
      </c>
      <c r="H21" s="23"/>
      <c r="I21" s="23">
        <v>-18.984999999999999</v>
      </c>
      <c r="J21" s="23"/>
      <c r="K21" s="23"/>
      <c r="L21" s="23"/>
      <c r="M21" s="23"/>
      <c r="N21" s="154">
        <f t="shared" si="1"/>
        <v>-18.984999999999999</v>
      </c>
      <c r="O21" s="155">
        <f t="shared" si="2"/>
        <v>2035.1015</v>
      </c>
      <c r="P21" s="23">
        <f>([1]BalanceComprobacion!$D$262+[1]BalanceComprobacion!$D$267)/1000</f>
        <v>-1114.81763</v>
      </c>
      <c r="Q21" s="23">
        <f>-[1]BalanceComprobacion!$E$751/1000</f>
        <v>-19.13655</v>
      </c>
      <c r="R21" s="23">
        <v>-17.086500000000001</v>
      </c>
      <c r="S21" s="158">
        <f t="shared" si="3"/>
        <v>-2.0500499999999988</v>
      </c>
      <c r="T21" s="158">
        <f t="shared" si="4"/>
        <v>-1116.8676800000001</v>
      </c>
      <c r="U21" s="158">
        <f t="shared" si="5"/>
        <v>918.23381999999992</v>
      </c>
    </row>
    <row r="22" spans="1:21" s="20" customFormat="1" ht="24" customHeight="1" x14ac:dyDescent="0.25">
      <c r="A22" s="21" t="s">
        <v>1606</v>
      </c>
      <c r="B22" s="22" t="s">
        <v>880</v>
      </c>
      <c r="C22" s="23">
        <v>0</v>
      </c>
      <c r="D22" s="23"/>
      <c r="E22" s="148"/>
      <c r="F22" s="148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23">
        <v>0</v>
      </c>
      <c r="Q22" s="23">
        <v>0</v>
      </c>
      <c r="R22" s="23"/>
      <c r="S22" s="158">
        <f t="shared" si="3"/>
        <v>0</v>
      </c>
      <c r="T22" s="158">
        <f t="shared" si="4"/>
        <v>0</v>
      </c>
      <c r="U22" s="158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23">
        <f>([1]BalanceComprobacion!$D$271+[1]BalanceComprobacion!$D$276+[1]BalanceComprobacion!$D$281)/1000</f>
        <v>2261.8049299999998</v>
      </c>
      <c r="D23" s="23"/>
      <c r="E23" s="148"/>
      <c r="F23" s="148"/>
      <c r="G23" s="154">
        <f>+C23+D23+E23-F23</f>
        <v>2261.8049299999998</v>
      </c>
      <c r="H23" s="23"/>
      <c r="I23" s="23">
        <f>-244900/1000</f>
        <v>-244.9</v>
      </c>
      <c r="J23" s="23"/>
      <c r="K23" s="23"/>
      <c r="L23" s="23"/>
      <c r="M23" s="23"/>
      <c r="N23" s="154">
        <f t="shared" si="1"/>
        <v>-244.9</v>
      </c>
      <c r="O23" s="155">
        <f t="shared" si="2"/>
        <v>2016.9049299999997</v>
      </c>
      <c r="P23" s="23">
        <f>([1]BalanceComprobacion!$D$273+[1]BalanceComprobacion!$D$278+[1]BalanceComprobacion!$D$283)/1000</f>
        <v>-557.87609999999995</v>
      </c>
      <c r="Q23" s="23">
        <f>(-[1]BalanceComprobacion!$F$273-[1]BalanceComprobacion!$F$278-[1]BalanceComprobacion!$F$283)/1000</f>
        <v>-48.350819999999999</v>
      </c>
      <c r="R23" s="23">
        <v>-201.52574999999999</v>
      </c>
      <c r="S23" s="158">
        <f t="shared" si="3"/>
        <v>153.17492999999999</v>
      </c>
      <c r="T23" s="158">
        <f t="shared" si="4"/>
        <v>-404.70116999999993</v>
      </c>
      <c r="U23" s="158">
        <f t="shared" si="5"/>
        <v>1612.2037599999999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3"/>
        <v>0</v>
      </c>
      <c r="T25" s="158">
        <f t="shared" si="4"/>
        <v>0</v>
      </c>
      <c r="U25" s="158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3"/>
        <v>0</v>
      </c>
      <c r="T26" s="158">
        <f t="shared" si="4"/>
        <v>0</v>
      </c>
      <c r="U26" s="158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3"/>
        <v>0</v>
      </c>
      <c r="T27" s="158">
        <f t="shared" si="4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3"/>
        <v>0</v>
      </c>
      <c r="T28" s="158">
        <f t="shared" si="4"/>
        <v>0</v>
      </c>
      <c r="U28" s="158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3"/>
        <v>0</v>
      </c>
      <c r="T29" s="158">
        <f t="shared" si="4"/>
        <v>0</v>
      </c>
      <c r="U29" s="158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3"/>
        <v>0</v>
      </c>
      <c r="T31" s="158">
        <f t="shared" si="4"/>
        <v>0</v>
      </c>
      <c r="U31" s="158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3"/>
        <v>0</v>
      </c>
      <c r="T32" s="158">
        <f t="shared" si="4"/>
        <v>0</v>
      </c>
      <c r="U32" s="158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3"/>
        <v>0</v>
      </c>
      <c r="T33" s="158">
        <f t="shared" si="4"/>
        <v>0</v>
      </c>
      <c r="U33" s="158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3"/>
        <v>0</v>
      </c>
      <c r="T34" s="158">
        <f t="shared" si="4"/>
        <v>0</v>
      </c>
      <c r="U34" s="158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3"/>
        <v>0</v>
      </c>
      <c r="T36" s="158">
        <f t="shared" si="4"/>
        <v>0</v>
      </c>
      <c r="U36" s="158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3"/>
        <v>0</v>
      </c>
      <c r="T37" s="158">
        <f t="shared" si="4"/>
        <v>0</v>
      </c>
      <c r="U37" s="158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3"/>
        <v>0</v>
      </c>
      <c r="T38" s="158">
        <f t="shared" si="4"/>
        <v>0</v>
      </c>
      <c r="U38" s="158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3"/>
        <v>0</v>
      </c>
      <c r="T40" s="158">
        <f t="shared" si="4"/>
        <v>0</v>
      </c>
      <c r="U40" s="158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3"/>
        <v>0</v>
      </c>
      <c r="T41" s="158">
        <f t="shared" si="4"/>
        <v>0</v>
      </c>
      <c r="U41" s="158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6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4"/>
        <v>0</v>
      </c>
      <c r="U43" s="158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6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4"/>
        <v>0</v>
      </c>
      <c r="U44" s="158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56766.446260000004</v>
      </c>
      <c r="D45" s="18">
        <f>SUM(D46:D49)</f>
        <v>0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56766.446260000004</v>
      </c>
      <c r="H45" s="18">
        <f t="shared" si="13"/>
        <v>0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0</v>
      </c>
      <c r="O45" s="147">
        <f t="shared" si="13"/>
        <v>56766.446260000004</v>
      </c>
      <c r="P45" s="18">
        <f t="shared" si="13"/>
        <v>-11401.1788</v>
      </c>
      <c r="Q45" s="18">
        <f t="shared" si="13"/>
        <v>-3868.0046600000001</v>
      </c>
      <c r="R45" s="18">
        <f t="shared" si="13"/>
        <v>0</v>
      </c>
      <c r="S45" s="147">
        <f t="shared" si="13"/>
        <v>-3868.0046600000001</v>
      </c>
      <c r="T45" s="147">
        <f t="shared" si="13"/>
        <v>-15269.18346</v>
      </c>
      <c r="U45" s="147">
        <f t="shared" si="13"/>
        <v>41497.262800000004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8"/>
      <c r="F46" s="148"/>
      <c r="G46" s="154">
        <f>+C46+D46+E46-F46</f>
        <v>0</v>
      </c>
      <c r="H46" s="23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23"/>
      <c r="Q46" s="23"/>
      <c r="R46" s="23"/>
      <c r="S46" s="158">
        <f t="shared" ref="S46:S54" si="14">+Q46-R46</f>
        <v>0</v>
      </c>
      <c r="T46" s="158">
        <f t="shared" si="4"/>
        <v>0</v>
      </c>
      <c r="U46" s="158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8"/>
      <c r="F47" s="148"/>
      <c r="G47" s="154">
        <f>+C47+D47+E47-F47</f>
        <v>0</v>
      </c>
      <c r="H47" s="23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23"/>
      <c r="Q47" s="23"/>
      <c r="R47" s="23"/>
      <c r="S47" s="158">
        <f t="shared" si="14"/>
        <v>0</v>
      </c>
      <c r="T47" s="158">
        <f t="shared" si="4"/>
        <v>0</v>
      </c>
      <c r="U47" s="158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23">
        <f>+[1]BalanceComprobacion!$D$288/1000</f>
        <v>56383.293260000006</v>
      </c>
      <c r="D48" s="23"/>
      <c r="E48" s="148"/>
      <c r="F48" s="148"/>
      <c r="G48" s="154">
        <f>+C48+D48+E48-F48</f>
        <v>56383.293260000006</v>
      </c>
      <c r="H48" s="23"/>
      <c r="I48" s="23"/>
      <c r="J48" s="23"/>
      <c r="K48" s="23"/>
      <c r="L48" s="23"/>
      <c r="M48" s="23"/>
      <c r="N48" s="154">
        <f t="shared" si="1"/>
        <v>0</v>
      </c>
      <c r="O48" s="155">
        <f t="shared" si="2"/>
        <v>56383.293260000006</v>
      </c>
      <c r="P48" s="23">
        <f>+[1]BalanceComprobacion!$D$291/1000</f>
        <v>-11401.1788</v>
      </c>
      <c r="Q48" s="23">
        <f>(-[1]BalanceComprobacion!$E$758-[1]BalanceComprobacion!$E$761)/1000</f>
        <v>-3868.0046600000001</v>
      </c>
      <c r="R48" s="23"/>
      <c r="S48" s="158">
        <f t="shared" si="14"/>
        <v>-3868.0046600000001</v>
      </c>
      <c r="T48" s="158">
        <f t="shared" si="4"/>
        <v>-15269.18346</v>
      </c>
      <c r="U48" s="158">
        <f t="shared" si="5"/>
        <v>41114.109800000006</v>
      </c>
    </row>
    <row r="49" spans="1:24" ht="24" customHeight="1" x14ac:dyDescent="0.25">
      <c r="A49" s="21" t="s">
        <v>1635</v>
      </c>
      <c r="B49" s="22" t="s">
        <v>897</v>
      </c>
      <c r="C49" s="23">
        <f>+[1]BalanceComprobacion!$D$295/1000</f>
        <v>383.15300000000002</v>
      </c>
      <c r="D49" s="23"/>
      <c r="E49" s="148"/>
      <c r="F49" s="148"/>
      <c r="G49" s="154">
        <f>+C49+D49+E49-F49</f>
        <v>383.15300000000002</v>
      </c>
      <c r="H49" s="23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383.15300000000002</v>
      </c>
      <c r="P49" s="23"/>
      <c r="Q49" s="23"/>
      <c r="R49" s="23"/>
      <c r="S49" s="158">
        <f t="shared" si="14"/>
        <v>0</v>
      </c>
      <c r="T49" s="158">
        <f t="shared" si="4"/>
        <v>0</v>
      </c>
      <c r="U49" s="158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6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4"/>
        <v>0</v>
      </c>
      <c r="U51" s="158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6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4"/>
        <v>0</v>
      </c>
      <c r="U52" s="158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6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4"/>
        <v>0</v>
      </c>
      <c r="U53" s="158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6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4"/>
        <v>0</v>
      </c>
      <c r="U54" s="158">
        <f t="shared" si="5"/>
        <v>0</v>
      </c>
    </row>
    <row r="55" spans="1:24" s="4" customFormat="1" ht="24" customHeight="1" x14ac:dyDescent="0.25">
      <c r="A55" s="180" t="s">
        <v>901</v>
      </c>
      <c r="B55" s="180"/>
      <c r="C55" s="27">
        <f t="shared" ref="C55:U55" si="16">C11+C24+C30+C35+C39+C42+C45+C50</f>
        <v>1663218.1313699998</v>
      </c>
      <c r="D55" s="27">
        <f t="shared" si="16"/>
        <v>0</v>
      </c>
      <c r="E55" s="149">
        <f t="shared" si="16"/>
        <v>478567.85012999998</v>
      </c>
      <c r="F55" s="149">
        <f t="shared" si="16"/>
        <v>113937.57166000002</v>
      </c>
      <c r="G55" s="149">
        <f t="shared" si="16"/>
        <v>2027848.4098399999</v>
      </c>
      <c r="H55" s="27">
        <f t="shared" si="16"/>
        <v>0</v>
      </c>
      <c r="I55" s="27">
        <f t="shared" si="16"/>
        <v>-17521.830000000002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0</v>
      </c>
      <c r="N55" s="149">
        <f t="shared" si="16"/>
        <v>-17521.830000000002</v>
      </c>
      <c r="O55" s="149">
        <f t="shared" si="16"/>
        <v>2010326.5798400003</v>
      </c>
      <c r="P55" s="27">
        <f t="shared" si="16"/>
        <v>-349379.89059999998</v>
      </c>
      <c r="Q55" s="27">
        <f t="shared" si="16"/>
        <v>-17701.37991</v>
      </c>
      <c r="R55" s="27">
        <f t="shared" si="16"/>
        <v>-15343.570900000001</v>
      </c>
      <c r="S55" s="149">
        <f t="shared" si="16"/>
        <v>-2357.809009999999</v>
      </c>
      <c r="T55" s="149">
        <f t="shared" si="16"/>
        <v>-351737.69961000001</v>
      </c>
      <c r="U55" s="149">
        <f t="shared" si="16"/>
        <v>1658588.8802299995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80" t="s">
        <v>905</v>
      </c>
      <c r="B91" s="180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81" t="s">
        <v>1675</v>
      </c>
      <c r="B93" s="181"/>
      <c r="C93" s="32">
        <f t="shared" ref="C93:U93" si="31">+C91+C55</f>
        <v>1663218.1313699998</v>
      </c>
      <c r="D93" s="32">
        <f t="shared" si="31"/>
        <v>0</v>
      </c>
      <c r="E93" s="151">
        <f t="shared" si="31"/>
        <v>478567.85012999998</v>
      </c>
      <c r="F93" s="151">
        <f t="shared" si="31"/>
        <v>113937.57166000002</v>
      </c>
      <c r="G93" s="151">
        <f t="shared" si="31"/>
        <v>2027848.4098399999</v>
      </c>
      <c r="H93" s="32">
        <f t="shared" si="31"/>
        <v>0</v>
      </c>
      <c r="I93" s="32">
        <f t="shared" si="31"/>
        <v>-17521.830000000002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0</v>
      </c>
      <c r="N93" s="151">
        <f t="shared" si="31"/>
        <v>-17521.830000000002</v>
      </c>
      <c r="O93" s="151">
        <f t="shared" si="31"/>
        <v>2010326.5798400003</v>
      </c>
      <c r="P93" s="32">
        <f t="shared" si="31"/>
        <v>-349379.89059999998</v>
      </c>
      <c r="Q93" s="32">
        <f t="shared" si="31"/>
        <v>-17701.37991</v>
      </c>
      <c r="R93" s="32">
        <f t="shared" si="31"/>
        <v>-15343.570900000001</v>
      </c>
      <c r="S93" s="151">
        <f t="shared" si="31"/>
        <v>-2357.809009999999</v>
      </c>
      <c r="T93" s="151">
        <f t="shared" si="31"/>
        <v>-351737.69961000001</v>
      </c>
      <c r="U93" s="151">
        <f t="shared" si="31"/>
        <v>1658588.8802299995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78"/>
      <c r="B95" s="178"/>
      <c r="C95" s="178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79" t="s">
        <v>1581</v>
      </c>
      <c r="E102" s="179"/>
      <c r="F102" s="153"/>
      <c r="G102" s="179" t="s">
        <v>1582</v>
      </c>
      <c r="H102" s="179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P8:P9"/>
    <mergeCell ref="Q8:Q9"/>
    <mergeCell ref="R8:R9"/>
    <mergeCell ref="H8:H9"/>
    <mergeCell ref="I8:I9"/>
    <mergeCell ref="J8:J9"/>
    <mergeCell ref="K8:K9"/>
    <mergeCell ref="L8:L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opLeftCell="A34" zoomScaleNormal="100" zoomScaleSheetLayoutView="90" workbookViewId="0">
      <selection activeCell="A53" sqref="A53:XFD56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63" t="str">
        <f ca="1">Data!N1</f>
        <v xml:space="preserve">Consejo Nacional de Investigaciones Científicas y Tecnológicas (CONICIT) 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s="132" customFormat="1" ht="15.75" x14ac:dyDescent="0.25">
      <c r="A3" s="192" t="s">
        <v>914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</row>
    <row r="4" spans="1:29" s="132" customFormat="1" ht="15.75" x14ac:dyDescent="0.25">
      <c r="A4" s="163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31 de Marzo de 2021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</row>
    <row r="5" spans="1:29" s="131" customFormat="1" ht="18" customHeight="1" x14ac:dyDescent="0.25">
      <c r="A5" s="193" t="s">
        <v>1584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</row>
    <row r="6" spans="1:29" s="9" customFormat="1" ht="37.5" customHeight="1" x14ac:dyDescent="0.25">
      <c r="A6" s="114" t="s">
        <v>916</v>
      </c>
      <c r="B6" s="190" t="s">
        <v>917</v>
      </c>
      <c r="C6" s="190"/>
      <c r="D6" s="190" t="s">
        <v>918</v>
      </c>
      <c r="E6" s="190"/>
      <c r="F6" s="190" t="s">
        <v>919</v>
      </c>
      <c r="G6" s="190"/>
      <c r="H6" s="190" t="s">
        <v>920</v>
      </c>
      <c r="I6" s="190"/>
      <c r="J6" s="190" t="s">
        <v>921</v>
      </c>
      <c r="K6" s="190"/>
      <c r="L6" s="190" t="s">
        <v>922</v>
      </c>
      <c r="M6" s="190"/>
      <c r="N6" s="190" t="s">
        <v>923</v>
      </c>
      <c r="O6" s="190"/>
      <c r="P6" s="190" t="s">
        <v>924</v>
      </c>
      <c r="Q6" s="190"/>
      <c r="R6" s="190" t="s">
        <v>925</v>
      </c>
      <c r="S6" s="190"/>
      <c r="T6" s="190" t="s">
        <v>926</v>
      </c>
      <c r="U6" s="190"/>
      <c r="V6" s="190" t="s">
        <v>927</v>
      </c>
      <c r="W6" s="190"/>
      <c r="X6" s="190" t="s">
        <v>928</v>
      </c>
      <c r="Y6" s="190"/>
      <c r="Z6" s="190" t="s">
        <v>1679</v>
      </c>
      <c r="AA6" s="190"/>
      <c r="AB6" s="190" t="s">
        <v>1680</v>
      </c>
      <c r="AC6" s="194"/>
    </row>
    <row r="7" spans="1:29" s="118" customFormat="1" ht="23.25" customHeight="1" x14ac:dyDescent="0.25">
      <c r="A7" s="133" t="s">
        <v>1681</v>
      </c>
      <c r="B7" s="127" t="str">
        <f ca="1">Data!C2</f>
        <v>2021</v>
      </c>
      <c r="C7" s="128">
        <f ca="1">Data!C2-1</f>
        <v>2020</v>
      </c>
      <c r="D7" s="129" t="str">
        <f ca="1">Data!C2</f>
        <v>2021</v>
      </c>
      <c r="E7" s="128">
        <f ca="1">Data!C2-1</f>
        <v>2020</v>
      </c>
      <c r="F7" s="129" t="str">
        <f ca="1">Data!C2</f>
        <v>2021</v>
      </c>
      <c r="G7" s="128">
        <f ca="1">Data!C2-1</f>
        <v>2020</v>
      </c>
      <c r="H7" s="129" t="str">
        <f ca="1">Data!C2</f>
        <v>2021</v>
      </c>
      <c r="I7" s="128">
        <f ca="1">Data!C2-1</f>
        <v>2020</v>
      </c>
      <c r="J7" s="129" t="str">
        <f ca="1">Data!C2</f>
        <v>2021</v>
      </c>
      <c r="K7" s="128">
        <f ca="1">Data!C2-1</f>
        <v>2020</v>
      </c>
      <c r="L7" s="129" t="str">
        <f ca="1">Data!C2</f>
        <v>2021</v>
      </c>
      <c r="M7" s="128">
        <f ca="1">Data!C2-1</f>
        <v>2020</v>
      </c>
      <c r="N7" s="129" t="str">
        <f ca="1">Data!C2</f>
        <v>2021</v>
      </c>
      <c r="O7" s="128">
        <f ca="1">Data!C2-1</f>
        <v>2020</v>
      </c>
      <c r="P7" s="129" t="str">
        <f ca="1">Data!C2</f>
        <v>2021</v>
      </c>
      <c r="Q7" s="128">
        <f ca="1">Data!C2-1</f>
        <v>2020</v>
      </c>
      <c r="R7" s="129" t="str">
        <f ca="1">Data!C2</f>
        <v>2021</v>
      </c>
      <c r="S7" s="128">
        <f ca="1">Data!C2-1</f>
        <v>2020</v>
      </c>
      <c r="T7" s="129" t="str">
        <f ca="1">Data!C2</f>
        <v>2021</v>
      </c>
      <c r="U7" s="128">
        <f ca="1">Data!C2-1</f>
        <v>2020</v>
      </c>
      <c r="V7" s="129" t="str">
        <f ca="1">Data!C2</f>
        <v>2021</v>
      </c>
      <c r="W7" s="128">
        <f ca="1">Data!C2-1</f>
        <v>2020</v>
      </c>
      <c r="X7" s="129" t="str">
        <f ca="1">Data!C2</f>
        <v>2021</v>
      </c>
      <c r="Y7" s="128">
        <f ca="1">Data!C2-1</f>
        <v>2020</v>
      </c>
      <c r="Z7" s="129" t="str">
        <f ca="1">Data!C2</f>
        <v>2021</v>
      </c>
      <c r="AA7" s="128">
        <f ca="1">Data!C2-1</f>
        <v>2020</v>
      </c>
      <c r="AB7" s="129" t="str">
        <f ca="1">Data!C2</f>
        <v>2021</v>
      </c>
      <c r="AC7" s="130">
        <f ca="1">Data!C2-1</f>
        <v>2020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189" t="s">
        <v>941</v>
      </c>
      <c r="B23" s="18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91"/>
      <c r="B24" s="191"/>
      <c r="C24" s="191"/>
      <c r="D24" s="191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187"/>
      <c r="B25" s="187"/>
      <c r="C25" s="187"/>
      <c r="D25" s="187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186"/>
      <c r="C26" s="186"/>
      <c r="D26" s="186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86"/>
      <c r="C27" s="186"/>
      <c r="D27" s="186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86"/>
      <c r="C28" s="186"/>
      <c r="D28" s="186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79" t="s">
        <v>1676</v>
      </c>
      <c r="C29" s="179"/>
      <c r="D29" s="179"/>
      <c r="F29" s="179" t="s">
        <v>1683</v>
      </c>
      <c r="G29" s="179"/>
      <c r="H29" s="179"/>
      <c r="J29" s="179" t="s">
        <v>1582</v>
      </c>
      <c r="K29" s="179"/>
      <c r="L29" s="179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188" t="str">
        <f ca="1">Data!N1</f>
        <v xml:space="preserve">Consejo Nacional de Investigaciones Científicas y Tecnológicas (CONICIT) 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188" t="s">
        <v>914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</row>
    <row r="37" spans="1:29" s="132" customFormat="1" ht="15.75" x14ac:dyDescent="0.25">
      <c r="A37" s="184" t="s">
        <v>942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</row>
    <row r="38" spans="1:29" s="132" customFormat="1" ht="15.75" x14ac:dyDescent="0.25">
      <c r="A38" s="163" t="s">
        <v>915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</row>
    <row r="39" spans="1:29" x14ac:dyDescent="0.25">
      <c r="A39" s="183" t="s">
        <v>1584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</row>
    <row r="40" spans="1:29" s="9" customFormat="1" ht="37.5" customHeight="1" x14ac:dyDescent="0.25">
      <c r="A40" s="141" t="s">
        <v>916</v>
      </c>
      <c r="B40" s="182" t="s">
        <v>917</v>
      </c>
      <c r="C40" s="182"/>
      <c r="D40" s="182" t="s">
        <v>918</v>
      </c>
      <c r="E40" s="182"/>
      <c r="F40" s="182" t="s">
        <v>919</v>
      </c>
      <c r="G40" s="182"/>
      <c r="H40" s="182" t="s">
        <v>920</v>
      </c>
      <c r="I40" s="182"/>
      <c r="J40" s="182" t="s">
        <v>921</v>
      </c>
      <c r="K40" s="182"/>
      <c r="L40" s="182" t="s">
        <v>922</v>
      </c>
      <c r="M40" s="182"/>
      <c r="N40" s="182" t="s">
        <v>923</v>
      </c>
      <c r="O40" s="182"/>
      <c r="P40" s="182" t="s">
        <v>924</v>
      </c>
      <c r="Q40" s="182"/>
      <c r="R40" s="182" t="s">
        <v>925</v>
      </c>
      <c r="S40" s="182"/>
      <c r="T40" s="182" t="s">
        <v>926</v>
      </c>
      <c r="U40" s="182"/>
      <c r="V40" s="182" t="s">
        <v>927</v>
      </c>
      <c r="W40" s="182"/>
      <c r="X40" s="182" t="s">
        <v>928</v>
      </c>
      <c r="Y40" s="182"/>
      <c r="Z40" s="182" t="s">
        <v>929</v>
      </c>
      <c r="AA40" s="182"/>
      <c r="AB40" s="182" t="s">
        <v>930</v>
      </c>
      <c r="AC40" s="182"/>
    </row>
    <row r="41" spans="1:29" s="118" customFormat="1" ht="23.25" customHeight="1" x14ac:dyDescent="0.25">
      <c r="A41" s="133" t="s">
        <v>1681</v>
      </c>
      <c r="B41" s="127" t="str">
        <f ca="1">Data!C2</f>
        <v>2021</v>
      </c>
      <c r="C41" s="128">
        <f ca="1">Data!C2-1</f>
        <v>2020</v>
      </c>
      <c r="D41" s="129" t="str">
        <f ca="1">Data!C2</f>
        <v>2021</v>
      </c>
      <c r="E41" s="128">
        <f ca="1">Data!C2-1</f>
        <v>2020</v>
      </c>
      <c r="F41" s="129" t="str">
        <f ca="1">Data!C2</f>
        <v>2021</v>
      </c>
      <c r="G41" s="128">
        <f ca="1">Data!C2-1</f>
        <v>2020</v>
      </c>
      <c r="H41" s="129" t="str">
        <f ca="1">Data!C2</f>
        <v>2021</v>
      </c>
      <c r="I41" s="128">
        <f ca="1">Data!C2-1</f>
        <v>2020</v>
      </c>
      <c r="J41" s="129" t="str">
        <f ca="1">Data!C2</f>
        <v>2021</v>
      </c>
      <c r="K41" s="128">
        <f ca="1">Data!C2-1</f>
        <v>2020</v>
      </c>
      <c r="L41" s="129" t="str">
        <f ca="1">Data!C2</f>
        <v>2021</v>
      </c>
      <c r="M41" s="128">
        <f ca="1">Data!C2-1</f>
        <v>2020</v>
      </c>
      <c r="N41" s="129" t="str">
        <f ca="1">Data!C2</f>
        <v>2021</v>
      </c>
      <c r="O41" s="128">
        <f ca="1">Data!C2-1</f>
        <v>2020</v>
      </c>
      <c r="P41" s="129" t="str">
        <f ca="1">Data!C2</f>
        <v>2021</v>
      </c>
      <c r="Q41" s="128">
        <f ca="1">Data!C2-1</f>
        <v>2020</v>
      </c>
      <c r="R41" s="129" t="str">
        <f ca="1">Data!C2</f>
        <v>2021</v>
      </c>
      <c r="S41" s="128">
        <f ca="1">Data!C2-1</f>
        <v>2020</v>
      </c>
      <c r="T41" s="129" t="str">
        <f ca="1">Data!C2</f>
        <v>2021</v>
      </c>
      <c r="U41" s="128">
        <f ca="1">Data!C2-1</f>
        <v>2020</v>
      </c>
      <c r="V41" s="129" t="str">
        <f ca="1">Data!C2</f>
        <v>2021</v>
      </c>
      <c r="W41" s="128">
        <f ca="1">Data!C2-1</f>
        <v>2020</v>
      </c>
      <c r="X41" s="129" t="str">
        <f ca="1">Data!C2</f>
        <v>2021</v>
      </c>
      <c r="Y41" s="128">
        <f ca="1">Data!C2-1</f>
        <v>2020</v>
      </c>
      <c r="Z41" s="129" t="str">
        <f ca="1">Data!C2</f>
        <v>2021</v>
      </c>
      <c r="AA41" s="128">
        <f ca="1">Data!C2-1</f>
        <v>2020</v>
      </c>
      <c r="AB41" s="129" t="str">
        <f ca="1">Data!C2</f>
        <v>2021</v>
      </c>
      <c r="AC41" s="130">
        <f ca="1">Data!C2-1</f>
        <v>2020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185" t="s">
        <v>941</v>
      </c>
      <c r="B49" s="185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186"/>
      <c r="C53" s="186"/>
      <c r="D53" s="186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86"/>
      <c r="C54" s="186"/>
      <c r="D54" s="186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86"/>
      <c r="C55" s="186"/>
      <c r="D55" s="186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79" t="s">
        <v>1676</v>
      </c>
      <c r="C56" s="179"/>
      <c r="D56" s="179"/>
      <c r="F56" s="179" t="s">
        <v>1683</v>
      </c>
      <c r="G56" s="179"/>
      <c r="H56" s="179"/>
      <c r="J56" s="179" t="s">
        <v>1582</v>
      </c>
      <c r="K56" s="179"/>
      <c r="L56" s="179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B56:D56"/>
    <mergeCell ref="B40:C40"/>
    <mergeCell ref="D40:E40"/>
    <mergeCell ref="F40:G40"/>
    <mergeCell ref="H40:I40"/>
    <mergeCell ref="F56:H56"/>
    <mergeCell ref="A49:B49"/>
    <mergeCell ref="B53:D55"/>
    <mergeCell ref="A39:AC39"/>
    <mergeCell ref="J40:K40"/>
    <mergeCell ref="L40:M40"/>
    <mergeCell ref="A38:AC38"/>
    <mergeCell ref="A37:AC37"/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topLeftCell="J288" workbookViewId="0">
      <selection activeCell="J302" sqref="A302:XFD304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2021 al 28 de Febrero de 2021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14161T12021</v>
      </c>
      <c r="B2" t="str">
        <f ca="1">LEFT(A2,LEN(A2)-6)</f>
        <v>14161</v>
      </c>
      <c r="C2" t="str">
        <f ca="1">RIGHT(A2,4)</f>
        <v>2021</v>
      </c>
      <c r="D2" t="str">
        <f ca="1">LEFT(RIGHT(A2,6),2)</f>
        <v>T1</v>
      </c>
      <c r="F2" s="2" t="s">
        <v>360</v>
      </c>
      <c r="G2" s="2" t="s">
        <v>907</v>
      </c>
      <c r="H2" s="2" t="str">
        <f ca="1">"01 de Marzo de "&amp;C2&amp;" al 30 de Abril de "&amp;C2</f>
        <v>01 de Marzo de 2021 al 30 de Abril de 2021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2021 al 30 de Junio de 2021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2021 al 31 de Agosto de 2021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2021 al 31 de Octubre de 2021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2021 al 31 de Diciembre de 2021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2021 al 31 de Marzo de 2021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2021 al 30 de Junio de 2021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2021 al 30 de Setiembre de 2021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2021 al 31 de Diciembre de 2021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2021 al 30 de Abril de 2021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2021 al 31 de Agosto de 2021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2021 al 31 de Diciembre de 2021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2021 al 30 de Junio de 2021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2021 al 31 de Diciembre de 2021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2021 al 31 de Diciembre de 2021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4" t="s">
        <v>1687</v>
      </c>
      <c r="L318" s="2" t="s">
        <v>1688</v>
      </c>
    </row>
    <row r="319" spans="11:12" x14ac:dyDescent="0.25">
      <c r="K319" s="144" t="s">
        <v>1689</v>
      </c>
      <c r="L319" s="159" t="s">
        <v>1690</v>
      </c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2021-04-21T17:04:10Z</dcterms:modified>
</cp:coreProperties>
</file>