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285" windowWidth="14805" windowHeight="7830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E154" i="1" l="1"/>
  <c r="E159" i="1"/>
  <c r="E167" i="1"/>
  <c r="E168" i="1"/>
  <c r="D11" i="1" l="1"/>
  <c r="Q48" i="5" l="1"/>
  <c r="D48" i="5"/>
  <c r="P48" i="5"/>
  <c r="C49" i="5"/>
  <c r="C48" i="5"/>
  <c r="Q23" i="5"/>
  <c r="Q21" i="5"/>
  <c r="Q20" i="5"/>
  <c r="Q19" i="5"/>
  <c r="Q18" i="5"/>
  <c r="M18" i="5"/>
  <c r="E12" i="5" l="1"/>
  <c r="Q17" i="5" l="1"/>
  <c r="Q16" i="5"/>
  <c r="Q14" i="5"/>
  <c r="Q13" i="5"/>
  <c r="G14" i="5"/>
  <c r="F13" i="5"/>
  <c r="G13" i="5"/>
  <c r="D18" i="5"/>
  <c r="E13" i="5"/>
  <c r="D168" i="1" l="1"/>
  <c r="D167" i="1"/>
  <c r="D159" i="1"/>
  <c r="D154" i="1"/>
  <c r="D153" i="1"/>
  <c r="D121" i="1"/>
  <c r="D119" i="1"/>
  <c r="D114" i="1"/>
  <c r="D113" i="1"/>
  <c r="D95" i="1"/>
  <c r="D94" i="1"/>
  <c r="D87" i="1"/>
  <c r="D83" i="1"/>
  <c r="D70" i="1"/>
  <c r="D63" i="1"/>
  <c r="D43" i="1"/>
  <c r="D42" i="1"/>
  <c r="D36" i="1"/>
  <c r="D34" i="1"/>
  <c r="D33" i="1"/>
  <c r="D27" i="1"/>
  <c r="D25" i="1"/>
  <c r="D23" i="1"/>
  <c r="E153" i="1"/>
  <c r="E113" i="1"/>
  <c r="E96" i="1"/>
  <c r="E95" i="1"/>
  <c r="E94" i="1"/>
  <c r="E81" i="1"/>
  <c r="E70" i="1"/>
  <c r="E63" i="1"/>
  <c r="E43" i="1"/>
  <c r="E42" i="1"/>
  <c r="E36" i="1"/>
  <c r="E34" i="1"/>
  <c r="E33" i="1"/>
  <c r="E27" i="1"/>
  <c r="E22" i="1"/>
  <c r="E12" i="1"/>
  <c r="E11" i="1"/>
  <c r="E226" i="3"/>
  <c r="E221" i="3"/>
  <c r="E214" i="3"/>
  <c r="E209" i="3"/>
  <c r="E207" i="3"/>
  <c r="E206" i="3"/>
  <c r="E205" i="3"/>
  <c r="E159" i="3"/>
  <c r="E157" i="3"/>
  <c r="E153" i="3"/>
  <c r="E151" i="3"/>
  <c r="E150" i="3"/>
  <c r="E148" i="3"/>
  <c r="E146" i="3"/>
  <c r="E145" i="3"/>
  <c r="E144" i="3"/>
  <c r="E139" i="3"/>
  <c r="E138" i="3"/>
  <c r="E137" i="3"/>
  <c r="E136" i="3"/>
  <c r="E135" i="3"/>
  <c r="E134" i="3"/>
  <c r="E125" i="3"/>
  <c r="E117" i="3"/>
  <c r="E100" i="3"/>
  <c r="E92" i="3"/>
  <c r="D221" i="3" l="1"/>
  <c r="D214" i="3"/>
  <c r="D206" i="3"/>
  <c r="D205" i="3"/>
  <c r="D159" i="3"/>
  <c r="D157" i="3"/>
  <c r="D155" i="3"/>
  <c r="D153" i="3"/>
  <c r="D150" i="3"/>
  <c r="D148" i="3"/>
  <c r="D147" i="3"/>
  <c r="D146" i="3"/>
  <c r="D145" i="3"/>
  <c r="D144" i="3"/>
  <c r="D143" i="3"/>
  <c r="D138" i="3"/>
  <c r="D137" i="3"/>
  <c r="D136" i="3"/>
  <c r="D135" i="3"/>
  <c r="D134" i="3"/>
  <c r="D125" i="3"/>
  <c r="D100" i="3"/>
  <c r="D92" i="3"/>
  <c r="D75" i="3"/>
  <c r="T77" i="5" l="1"/>
  <c r="T76" i="5"/>
  <c r="T72" i="5"/>
  <c r="T71" i="5"/>
  <c r="T67" i="5"/>
  <c r="T66" i="5"/>
  <c r="T63" i="5"/>
  <c r="T62" i="5"/>
  <c r="T59" i="5"/>
  <c r="T58" i="5"/>
  <c r="T52" i="5"/>
  <c r="T51" i="5"/>
  <c r="T47" i="5"/>
  <c r="T46" i="5"/>
  <c r="S90" i="5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S76" i="5"/>
  <c r="S75" i="5"/>
  <c r="T75" i="5" s="1"/>
  <c r="S74" i="5"/>
  <c r="T74" i="5" s="1"/>
  <c r="S72" i="5"/>
  <c r="S71" i="5"/>
  <c r="S69" i="5"/>
  <c r="T69" i="5" s="1"/>
  <c r="S68" i="5"/>
  <c r="T68" i="5" s="1"/>
  <c r="S67" i="5"/>
  <c r="S66" i="5"/>
  <c r="S65" i="5"/>
  <c r="T65" i="5" s="1"/>
  <c r="S64" i="5"/>
  <c r="T64" i="5" s="1"/>
  <c r="S63" i="5"/>
  <c r="S62" i="5"/>
  <c r="S61" i="5"/>
  <c r="T61" i="5" s="1"/>
  <c r="S60" i="5"/>
  <c r="T60" i="5" s="1"/>
  <c r="S59" i="5"/>
  <c r="S58" i="5"/>
  <c r="S54" i="5"/>
  <c r="T54" i="5" s="1"/>
  <c r="S53" i="5"/>
  <c r="T53" i="5" s="1"/>
  <c r="S52" i="5"/>
  <c r="S51" i="5"/>
  <c r="S49" i="5"/>
  <c r="T49" i="5" s="1"/>
  <c r="S48" i="5"/>
  <c r="T48" i="5" s="1"/>
  <c r="S47" i="5"/>
  <c r="S46" i="5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Q91" i="5" s="1"/>
  <c r="P86" i="5"/>
  <c r="N86" i="5"/>
  <c r="M86" i="5"/>
  <c r="L86" i="5"/>
  <c r="K86" i="5"/>
  <c r="J86" i="5"/>
  <c r="I86" i="5"/>
  <c r="H86" i="5"/>
  <c r="F86" i="5"/>
  <c r="E86" i="5"/>
  <c r="D86" i="5"/>
  <c r="C86" i="5"/>
  <c r="C91" i="5" s="1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K91" i="5" s="1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N45" i="5" s="1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N42" i="5" s="1"/>
  <c r="G43" i="5"/>
  <c r="T42" i="5"/>
  <c r="S42" i="5"/>
  <c r="R42" i="5"/>
  <c r="Q42" i="5"/>
  <c r="P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N39" i="5" s="1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O33" i="5" s="1"/>
  <c r="U33" i="5" s="1"/>
  <c r="N32" i="5"/>
  <c r="G32" i="5"/>
  <c r="N31" i="5"/>
  <c r="N30" i="5" s="1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O28" i="5" s="1"/>
  <c r="U28" i="5" s="1"/>
  <c r="N27" i="5"/>
  <c r="N26" i="5"/>
  <c r="G26" i="5"/>
  <c r="O26" i="5" s="1"/>
  <c r="U26" i="5" s="1"/>
  <c r="N25" i="5"/>
  <c r="N24" i="5" s="1"/>
  <c r="G25" i="5"/>
  <c r="G24" i="5" s="1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O23" i="5" s="1"/>
  <c r="U23" i="5" s="1"/>
  <c r="N22" i="5"/>
  <c r="G22" i="5"/>
  <c r="O22" i="5" s="1"/>
  <c r="U22" i="5" s="1"/>
  <c r="N21" i="5"/>
  <c r="G21" i="5"/>
  <c r="O21" i="5" s="1"/>
  <c r="U21" i="5" s="1"/>
  <c r="N20" i="5"/>
  <c r="G20" i="5"/>
  <c r="O20" i="5" s="1"/>
  <c r="U20" i="5" s="1"/>
  <c r="N19" i="5"/>
  <c r="G19" i="5"/>
  <c r="O19" i="5" s="1"/>
  <c r="U19" i="5" s="1"/>
  <c r="N18" i="5"/>
  <c r="G18" i="5"/>
  <c r="N17" i="5"/>
  <c r="G17" i="5"/>
  <c r="O17" i="5" s="1"/>
  <c r="U17" i="5" s="1"/>
  <c r="N16" i="5"/>
  <c r="G16" i="5"/>
  <c r="O16" i="5" s="1"/>
  <c r="U16" i="5" s="1"/>
  <c r="N15" i="5"/>
  <c r="G15" i="5"/>
  <c r="O15" i="5" s="1"/>
  <c r="U15" i="5" s="1"/>
  <c r="N14" i="5"/>
  <c r="O14" i="5"/>
  <c r="U14" i="5" s="1"/>
  <c r="N13" i="5"/>
  <c r="O13" i="5"/>
  <c r="U13" i="5" s="1"/>
  <c r="N12" i="5"/>
  <c r="G12" i="5"/>
  <c r="O12" i="5" s="1"/>
  <c r="U12" i="5" s="1"/>
  <c r="T11" i="5"/>
  <c r="S11" i="5"/>
  <c r="R11" i="5"/>
  <c r="Q11" i="5"/>
  <c r="P11" i="5"/>
  <c r="M11" i="5"/>
  <c r="L11" i="5"/>
  <c r="L55" i="5" s="1"/>
  <c r="K11" i="5"/>
  <c r="J11" i="5"/>
  <c r="I11" i="5"/>
  <c r="H11" i="5"/>
  <c r="H55" i="5" s="1"/>
  <c r="F11" i="5"/>
  <c r="E11" i="5"/>
  <c r="D11" i="5"/>
  <c r="C11" i="5"/>
  <c r="Q55" i="5" l="1"/>
  <c r="C55" i="5"/>
  <c r="O18" i="5"/>
  <c r="U18" i="5" s="1"/>
  <c r="N11" i="5"/>
  <c r="C93" i="5"/>
  <c r="P91" i="5"/>
  <c r="D55" i="5"/>
  <c r="D93" i="5" s="1"/>
  <c r="I55" i="5"/>
  <c r="M55" i="5"/>
  <c r="M93" i="5" s="1"/>
  <c r="R55" i="5"/>
  <c r="H91" i="5"/>
  <c r="H93" i="5" s="1"/>
  <c r="L91" i="5"/>
  <c r="L93" i="5" s="1"/>
  <c r="I91" i="5"/>
  <c r="I93" i="5" s="1"/>
  <c r="M91" i="5"/>
  <c r="R91" i="5"/>
  <c r="E55" i="5"/>
  <c r="J55" i="5"/>
  <c r="N35" i="5"/>
  <c r="O40" i="5"/>
  <c r="U40" i="5" s="1"/>
  <c r="G42" i="5"/>
  <c r="O52" i="5"/>
  <c r="U52" i="5" s="1"/>
  <c r="O54" i="5"/>
  <c r="U54" i="5" s="1"/>
  <c r="D91" i="5"/>
  <c r="E91" i="5"/>
  <c r="E93" i="5" s="1"/>
  <c r="J91" i="5"/>
  <c r="J93" i="5" s="1"/>
  <c r="N91" i="5"/>
  <c r="F55" i="5"/>
  <c r="F93" i="5" s="1"/>
  <c r="K55" i="5"/>
  <c r="P55" i="5"/>
  <c r="P93" i="5" s="1"/>
  <c r="O29" i="5"/>
  <c r="U29" i="5" s="1"/>
  <c r="O32" i="5"/>
  <c r="U32" i="5" s="1"/>
  <c r="O34" i="5"/>
  <c r="U34" i="5" s="1"/>
  <c r="O37" i="5"/>
  <c r="U37" i="5" s="1"/>
  <c r="O43" i="5"/>
  <c r="G45" i="5"/>
  <c r="O48" i="5"/>
  <c r="U48" i="5" s="1"/>
  <c r="F91" i="5"/>
  <c r="T91" i="5"/>
  <c r="T55" i="5"/>
  <c r="S91" i="5"/>
  <c r="S55" i="5"/>
  <c r="O70" i="5"/>
  <c r="U71" i="5"/>
  <c r="U70" i="5" s="1"/>
  <c r="U43" i="5"/>
  <c r="U42" i="5" s="1"/>
  <c r="O42" i="5"/>
  <c r="U11" i="5"/>
  <c r="O11" i="5"/>
  <c r="U51" i="5"/>
  <c r="Q93" i="5"/>
  <c r="O86" i="5"/>
  <c r="U87" i="5"/>
  <c r="U86" i="5" s="1"/>
  <c r="U82" i="5"/>
  <c r="U81" i="5" s="1"/>
  <c r="O81" i="5"/>
  <c r="R93" i="5"/>
  <c r="O78" i="5"/>
  <c r="U79" i="5"/>
  <c r="U78" i="5" s="1"/>
  <c r="K93" i="5"/>
  <c r="O35" i="5"/>
  <c r="U36" i="5"/>
  <c r="U74" i="5"/>
  <c r="U73" i="5" s="1"/>
  <c r="O73" i="5"/>
  <c r="U39" i="5"/>
  <c r="U58" i="5"/>
  <c r="U57" i="5" s="1"/>
  <c r="O57" i="5"/>
  <c r="O25" i="5"/>
  <c r="O31" i="5"/>
  <c r="O46" i="5"/>
  <c r="G57" i="5"/>
  <c r="G73" i="5"/>
  <c r="G81" i="5"/>
  <c r="G11" i="5"/>
  <c r="G55" i="5" s="1"/>
  <c r="O39" i="5"/>
  <c r="N50" i="5"/>
  <c r="N55" i="5" s="1"/>
  <c r="N93" i="5" s="1"/>
  <c r="G70" i="5"/>
  <c r="G78" i="5"/>
  <c r="G86" i="5"/>
  <c r="G91" i="5" s="1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G93" i="5" l="1"/>
  <c r="U50" i="5"/>
  <c r="U35" i="5"/>
  <c r="O91" i="5"/>
  <c r="O50" i="5"/>
  <c r="T93" i="5"/>
  <c r="H9" i="2"/>
  <c r="H10" i="2"/>
  <c r="C7" i="6"/>
  <c r="H8" i="2"/>
  <c r="U91" i="5"/>
  <c r="S93" i="5"/>
  <c r="E129" i="3"/>
  <c r="E227" i="3"/>
  <c r="D129" i="3"/>
  <c r="D227" i="3"/>
  <c r="D122" i="1"/>
  <c r="E88" i="1"/>
  <c r="E178" i="1"/>
  <c r="E122" i="1"/>
  <c r="D45" i="1"/>
  <c r="D147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A3" i="3" l="1"/>
  <c r="A4" i="5" s="1"/>
  <c r="O55" i="5"/>
  <c r="O93" i="5" s="1"/>
  <c r="D148" i="1"/>
  <c r="U55" i="5"/>
  <c r="U93" i="5" s="1"/>
  <c r="E228" i="3"/>
  <c r="E229" i="3" s="1"/>
  <c r="D228" i="3"/>
  <c r="E89" i="1"/>
  <c r="D89" i="1"/>
  <c r="E148" i="1"/>
  <c r="E179" i="1" s="1"/>
  <c r="A3" i="1"/>
  <c r="A4" i="6"/>
  <c r="T1" i="2"/>
  <c r="P1" i="2"/>
  <c r="S1" i="2"/>
  <c r="O1" i="2"/>
  <c r="R1" i="2"/>
  <c r="Q1" i="2"/>
  <c r="E180" i="1" l="1"/>
  <c r="N1" i="2"/>
  <c r="A1" i="1" l="1"/>
  <c r="A2" i="5"/>
  <c r="A2" i="6"/>
  <c r="A1" i="3"/>
  <c r="A34" i="6"/>
  <c r="D229" i="3" l="1"/>
  <c r="D166" i="1"/>
  <c r="D178" i="1" s="1"/>
  <c r="D179" i="1" s="1"/>
  <c r="D180" i="1" s="1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<sst xmlns="http://schemas.openxmlformats.org/spreadsheetml/2006/main" count="2125" uniqueCount="1689">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</sst>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6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center" vertical="center"/>
    </xf>
    <xf numFmtId="4" fontId="15" fillId="0" borderId="8" xfId="2" applyNumberFormat="1" applyFont="1" applyFill="1" applyBorder="1" applyAlignment="1" applyProtection="1">
      <alignment horizontal="right" vertical="center"/>
    </xf>
    <xf numFmtId="4" fontId="15" fillId="0" borderId="8" xfId="2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tabSelected="1" view="pageBreakPreview" zoomScale="110" zoomScaleNormal="100" zoomScaleSheetLayoutView="110" workbookViewId="0">
      <selection activeCell="D13" sqref="D13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62" t="str">
        <f ca="1">Data!N1</f>
        <v xml:space="preserve">Consejo Nacional de Investigaciones Científicas y Tecnológicas (CONICIT) </v>
      </c>
      <c r="B1" s="162"/>
      <c r="C1" s="162"/>
      <c r="D1" s="162"/>
      <c r="E1" s="162"/>
    </row>
    <row r="2" spans="1:6" ht="18" customHeight="1" x14ac:dyDescent="0.25">
      <c r="A2" s="162" t="s">
        <v>0</v>
      </c>
      <c r="B2" s="162"/>
      <c r="C2" s="162"/>
      <c r="D2" s="162"/>
      <c r="E2" s="162"/>
      <c r="F2" s="39"/>
    </row>
    <row r="3" spans="1:6" ht="18" customHeight="1" x14ac:dyDescent="0.25">
      <c r="A3" s="162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31 de Marzo de 2020</v>
      </c>
      <c r="B3" s="162"/>
      <c r="C3" s="162"/>
      <c r="D3" s="162"/>
      <c r="E3" s="162"/>
    </row>
    <row r="4" spans="1:6" ht="18" customHeight="1" x14ac:dyDescent="0.25">
      <c r="A4" s="163" t="s">
        <v>1583</v>
      </c>
      <c r="B4" s="163"/>
      <c r="C4" s="163"/>
      <c r="D4" s="163"/>
      <c r="E4" s="163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2020</v>
      </c>
      <c r="E6" s="90" t="str">
        <f ca="1">"Año "&amp;Data!C2-1</f>
        <v>Año 2019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1045065.49816</v>
      </c>
      <c r="E10" s="62">
        <f>SUM(E11:E12)</f>
        <v>611454.50199000002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f>1045065498.16/1000</f>
        <v>1045065.49816</v>
      </c>
      <c r="E11" s="159">
        <f>500000/1000</f>
        <v>500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>
        <v>0</v>
      </c>
      <c r="E12" s="159">
        <f>610954501.99/1000</f>
        <v>610954.50199000002</v>
      </c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>
        <v>0</v>
      </c>
      <c r="E14" s="66">
        <v>0</v>
      </c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2139431.7735199998</v>
      </c>
      <c r="E19" s="62">
        <f>SUM(E20:E34)</f>
        <v>17011.102210000005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159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/>
      <c r="E21" s="159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159">
        <f>7440342.21/1000</f>
        <v>7440.3422099999998</v>
      </c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f>40.49/1000</f>
        <v>4.0490000000000005E-2</v>
      </c>
      <c r="E23" s="159"/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159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>
        <f>2031408674.63/1000</f>
        <v>2031408.67463</v>
      </c>
      <c r="E25" s="159"/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159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f>98091972.23/1000</f>
        <v>98091.972229999999</v>
      </c>
      <c r="E27" s="159">
        <f>57181079.89/1000</f>
        <v>57181.079890000001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159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159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159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159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159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f>9570760/1000</f>
        <v>9570.76</v>
      </c>
      <c r="E33" s="159">
        <f>9570760/1000</f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f>360326.17/1000</f>
        <v>360.32616999999999</v>
      </c>
      <c r="E34" s="159">
        <f>-57181079.89/1000</f>
        <v>-57181.079890000001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3481.6288999999997</v>
      </c>
      <c r="E35" s="62">
        <f>SUM(E36:E40)</f>
        <v>1574.6205400000001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f>3481628.9/1000</f>
        <v>3481.6288999999997</v>
      </c>
      <c r="E36" s="159">
        <f>1574620.54/1000</f>
        <v>1574.6205400000001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159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159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159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159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1878.95984</v>
      </c>
      <c r="E41" s="62">
        <f>SUM(E42:E44)</f>
        <v>3867.6368699999998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f>1804556.96/1000</f>
        <v>1804.5569599999999</v>
      </c>
      <c r="E42" s="159">
        <f>3860197.78/1000</f>
        <v>3860.19778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f>74402.88/1000</f>
        <v>74.40288000000001</v>
      </c>
      <c r="E43" s="159">
        <f>7439.09/1000</f>
        <v>7.4390900000000002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3189857.8604199998</v>
      </c>
      <c r="E45" s="76">
        <f>+E41++E35+E19+E13+E10</f>
        <v>633907.86161000002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1666616.4262699999</v>
      </c>
      <c r="E62" s="62">
        <f>SUM(E63:E71)</f>
        <v>1463252.4791100002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f>1637091524.03/1000</f>
        <v>1637091.52403</v>
      </c>
      <c r="E63" s="159">
        <f>1455934539.4/1000</f>
        <v>1455934.5394000001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66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66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66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66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66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66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f>29524902.24/1000</f>
        <v>29524.902239999999</v>
      </c>
      <c r="E70" s="159">
        <f>7317939.71/1000</f>
        <v>7317.9397099999996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489046.04272000003</v>
      </c>
      <c r="E79" s="62">
        <f>SUM(E80:E83)</f>
        <v>580315.12804999994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159">
        <f>580315128.05/1000</f>
        <v>580315.12804999994</v>
      </c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>
        <f>489046042.72/1000</f>
        <v>489046.04272000003</v>
      </c>
      <c r="E83" s="66"/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0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>
        <f>3560125.78/1000</f>
        <v>3560.1257799999998</v>
      </c>
      <c r="E87" s="66"/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2159222.5947699999</v>
      </c>
      <c r="E88" s="76">
        <f>+E84+E79+E72+E62+E54+E48</f>
        <v>2043567.6071600001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5349080.4551899992</v>
      </c>
      <c r="E89" s="78">
        <f>+E88+E45</f>
        <v>2677475.4687700002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322599.88394000003</v>
      </c>
      <c r="E93" s="62">
        <f>SUM(E94:E103)</f>
        <v>301762.84998999996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f>267254277.49/1000</f>
        <v>267254.27749000001</v>
      </c>
      <c r="E94" s="159">
        <f>252470998.31/1000</f>
        <v>252470.99831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f>55345606.45/1000</f>
        <v>55345.606450000007</v>
      </c>
      <c r="E95" s="159">
        <f>22022829.79/1000</f>
        <v>22022.82979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/>
      <c r="E96" s="159">
        <f>27269021.89/1000</f>
        <v>27269.02189</v>
      </c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159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159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159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159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159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159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159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133689.50898000001</v>
      </c>
      <c r="E110" s="62">
        <f>SUM(E111:E114)</f>
        <v>3662.85934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66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66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>
        <f>4939508.98/1000</f>
        <v>4939.5089800000005</v>
      </c>
      <c r="E113" s="159">
        <f>3662859.34/1000</f>
        <v>3662.85934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>
        <f>128750000/1000</f>
        <v>128750</v>
      </c>
      <c r="E114" s="66"/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1992684.0977999999</v>
      </c>
      <c r="E118" s="62">
        <f>SUM(E119:E121)</f>
        <v>0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>
        <f>1992694859.37/1000</f>
        <v>1992694.85937</v>
      </c>
      <c r="E119" s="66"/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>
        <f>-10761.57/1000</f>
        <v>-10.761569999999999</v>
      </c>
      <c r="E121" s="66"/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2448973.4907200001</v>
      </c>
      <c r="E122" s="76">
        <f>+E118+E115+E110+E104+E93</f>
        <v>305425.70932999998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2448973.4907200001</v>
      </c>
      <c r="E148" s="78">
        <f>+E147+E122</f>
        <v>305425.70932999998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11128373.001400001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f>78022.11/1000</f>
        <v>78.022109999999998</v>
      </c>
      <c r="E153" s="159">
        <f>78022.11/1000</f>
        <v>78.022109999999998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f>721977.89/1000</f>
        <v>721.97789</v>
      </c>
      <c r="E154" s="159">
        <f>11128294979.29/1000</f>
        <v>11128294.979290001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470951.93108999997</v>
      </c>
      <c r="E158" s="62">
        <f>SUM(E159:E160)</f>
        <v>164771.41039999999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f>470951931.09/1000</f>
        <v>470951.93108999997</v>
      </c>
      <c r="E159" s="159">
        <f>164771410.4/1000</f>
        <v>164771.41039999999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2428355.0333899995</v>
      </c>
      <c r="E166" s="62">
        <f>SUM(E167:E168)</f>
        <v>-8921094.6523599997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f>2452353502.97/1000</f>
        <v>2452353.5029699998</v>
      </c>
      <c r="E167" s="159">
        <f>((486505175.53+1916055080.15-11210384484.23)/1000)</f>
        <v>-8807824.2285500001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f>+EstadoResultados_Rendimiento!D228</f>
        <v>-23998.469580000034</v>
      </c>
      <c r="E168" s="159">
        <f>-113270423.81/1000</f>
        <v>-113270.42381000001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2900106.9644799996</v>
      </c>
      <c r="E178" s="76">
        <f>+E173+E170+E166+E161+E158+E155+E152</f>
        <v>2372049.7594400011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5349080.4551999997</v>
      </c>
      <c r="E179" s="78">
        <f>+E178+E148</f>
        <v>2677475.4687700011</v>
      </c>
      <c r="F179" s="44"/>
    </row>
    <row r="180" spans="1:6" ht="18" customHeight="1" x14ac:dyDescent="0.25">
      <c r="B180" s="48"/>
      <c r="C180" s="45"/>
      <c r="D180" s="49">
        <f>+D179-D89</f>
        <v>1.0000541806221008E-5</v>
      </c>
      <c r="E180" s="49">
        <f>+E179-E89</f>
        <v>0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topLeftCell="A226" zoomScale="110" zoomScaleNormal="100" zoomScaleSheetLayoutView="110" workbookViewId="0">
      <selection activeCell="E165" sqref="E165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62" t="str">
        <f ca="1">Data!N1</f>
        <v xml:space="preserve">Consejo Nacional de Investigaciones Científicas y Tecnológicas (CONICIT) </v>
      </c>
      <c r="B1" s="162"/>
      <c r="C1" s="162"/>
      <c r="D1" s="162"/>
      <c r="E1" s="162"/>
      <c r="F1" s="38"/>
    </row>
    <row r="2" spans="1:6" ht="18" customHeight="1" x14ac:dyDescent="0.25">
      <c r="A2" s="162" t="s">
        <v>375</v>
      </c>
      <c r="B2" s="162"/>
      <c r="C2" s="162"/>
      <c r="D2" s="162"/>
      <c r="E2" s="162"/>
      <c r="F2" s="39"/>
    </row>
    <row r="3" spans="1:6" ht="18" customHeight="1" x14ac:dyDescent="0.25">
      <c r="A3" s="162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31 de Marzo de 2020</v>
      </c>
      <c r="B3" s="162"/>
      <c r="C3" s="162"/>
      <c r="D3" s="162"/>
      <c r="E3" s="162"/>
      <c r="F3" s="38"/>
    </row>
    <row r="4" spans="1:6" ht="18" customHeight="1" x14ac:dyDescent="0.25">
      <c r="A4" s="163" t="s">
        <v>1583</v>
      </c>
      <c r="B4" s="163"/>
      <c r="C4" s="163"/>
      <c r="D4" s="163"/>
      <c r="E4" s="163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2020</v>
      </c>
      <c r="E6" s="110" t="str">
        <f ca="1">"Año "&amp;Data!C2-1</f>
        <v>Año 2019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1.3500000000000001E-3</v>
      </c>
      <c r="E74" s="62">
        <f>SUM(E75:E77)</f>
        <v>0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f>1.35/1000</f>
        <v>1.3500000000000001E-3</v>
      </c>
      <c r="E75" s="66"/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307140.85070999997</v>
      </c>
      <c r="E90" s="62">
        <f>SUM(E91:E93)</f>
        <v>546955.01668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f>307140850.71/1000</f>
        <v>307140.85070999997</v>
      </c>
      <c r="E92" s="66">
        <f>546955016.68/1000</f>
        <v>546955.01668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1323.41354</v>
      </c>
      <c r="E99" s="62">
        <f>SUM(E100:E105)</f>
        <v>348.39891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f>1323413.54/1000</f>
        <v>1323.41354</v>
      </c>
      <c r="E100" s="66">
        <f>348398.91/1000</f>
        <v>348.39891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22949.586079999997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>
        <f>22949586.08/1000</f>
        <v>22949.586079999997</v>
      </c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1599.1613</v>
      </c>
      <c r="E124" s="62">
        <f>SUM(E125)</f>
        <v>813.45686000000001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>
        <f>1599161.3/1000</f>
        <v>1599.1613</v>
      </c>
      <c r="E125" s="66">
        <f>813456.86/1000</f>
        <v>813.45686000000001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0</v>
      </c>
      <c r="E127" s="62">
        <f>SUM(E128)</f>
        <v>0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/>
      <c r="E128" s="66"/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310063.42689999996</v>
      </c>
      <c r="E129" s="78">
        <f>+E127+E124+E119+E115+E109+E106+E99+E94+E90+E82+E78+E74+E71+E61+E58+E54+E51+E48+E45+E40+E37+E33+E30+E26+E22+E15+E10</f>
        <v>571066.45852999995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243402.44479000004</v>
      </c>
      <c r="E133" s="62">
        <f>SUM(E134:E141)</f>
        <v>236281.62331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f>101039575.82/1000</f>
        <v>101039.57582</v>
      </c>
      <c r="E134" s="66">
        <f>82385757.67/1000</f>
        <v>82385.757670000006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f>1193795.44/1000</f>
        <v>1193.7954399999999</v>
      </c>
      <c r="E135" s="66">
        <f>2110330.45/1000</f>
        <v>2110.3304500000004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f>79985418.18/1000</f>
        <v>79985.418180000008</v>
      </c>
      <c r="E136" s="66">
        <f>85908937.7/1000</f>
        <v>85908.937700000009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f>42063936.04/1000</f>
        <v>42063.936040000001</v>
      </c>
      <c r="E137" s="66">
        <f>43721922.29/1000</f>
        <v>43721.922290000002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f>19119719.31/1000</f>
        <v>19119.71931</v>
      </c>
      <c r="E138" s="66">
        <f>9224034.49/1000</f>
        <v>9224.03449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66">
        <f>12930640.71/1000</f>
        <v>12930.640710000001</v>
      </c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21084.775440000001</v>
      </c>
      <c r="E142" s="62">
        <f>SUM(E143:E151)</f>
        <v>19623.177449999999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f>40863.05/1000</f>
        <v>40.863050000000001</v>
      </c>
      <c r="E143" s="66"/>
    </row>
    <row r="144" spans="1:6" ht="18" customHeight="1" x14ac:dyDescent="0.25">
      <c r="A144" s="68" t="s">
        <v>671</v>
      </c>
      <c r="B144" s="100" t="s">
        <v>672</v>
      </c>
      <c r="C144" s="65"/>
      <c r="D144" s="66">
        <f>4401793.92/1000</f>
        <v>4401.7939200000001</v>
      </c>
      <c r="E144" s="66">
        <f>4133745.63/1000</f>
        <v>4133.7456299999994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f>619256.89/1000</f>
        <v>619.25689</v>
      </c>
      <c r="E145" s="66">
        <f>635445.2/1000</f>
        <v>635.4452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f>13137519.98/1000</f>
        <v>13137.519980000001</v>
      </c>
      <c r="E146" s="66">
        <f>11471365.76/1000</f>
        <v>11471.365760000001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>
        <f>45600/1000</f>
        <v>45.6</v>
      </c>
      <c r="E147" s="66"/>
    </row>
    <row r="148" spans="1:6" ht="18" customHeight="1" x14ac:dyDescent="0.25">
      <c r="A148" s="68" t="s">
        <v>679</v>
      </c>
      <c r="B148" s="100" t="s">
        <v>680</v>
      </c>
      <c r="C148" s="65"/>
      <c r="D148" s="66">
        <f>1518369.04/1000</f>
        <v>1518.36904</v>
      </c>
      <c r="E148" s="66">
        <f>1606462.26/1000</f>
        <v>1606.46226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/>
      <c r="E149" s="66"/>
    </row>
    <row r="150" spans="1:6" ht="18" customHeight="1" x14ac:dyDescent="0.25">
      <c r="A150" s="68" t="s">
        <v>683</v>
      </c>
      <c r="B150" s="100" t="s">
        <v>684</v>
      </c>
      <c r="C150" s="65"/>
      <c r="D150" s="66">
        <f>1321372.56/1000</f>
        <v>1321.37256</v>
      </c>
      <c r="E150" s="66">
        <f>1737728.6/1000</f>
        <v>1737.7286000000001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>
        <f>38430/1000</f>
        <v>38.43</v>
      </c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261.13269000000003</v>
      </c>
      <c r="E152" s="62">
        <f>SUM(E153:E157)</f>
        <v>318.04299000000003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f>85391.6/1000</f>
        <v>85.391600000000011</v>
      </c>
      <c r="E153" s="66">
        <f>81854.92/1000</f>
        <v>81.854919999999993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f>7871.68/1000</f>
        <v>7.8716800000000005</v>
      </c>
      <c r="E155" s="66"/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f>167869.41/1000</f>
        <v>167.86941000000002</v>
      </c>
      <c r="E157" s="66">
        <f>236188.07/1000</f>
        <v>236.18807000000001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12142.78369</v>
      </c>
      <c r="E158" s="62">
        <f>SUM(E159:E160)</f>
        <v>11526.599039999999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f>12142783.69/1000</f>
        <v>12142.78369</v>
      </c>
      <c r="E159" s="66">
        <f>(10243332.27+12305.37)/1000+1270961.4/1000</f>
        <v>11526.599039999999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0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/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0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/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6787.4786899999999</v>
      </c>
      <c r="E204" s="62">
        <f>SUM(E205:E207)</f>
        <v>377845.51337999996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f>5407821/1000</f>
        <v>5407.8209999999999</v>
      </c>
      <c r="E205" s="66">
        <f>(68585365.33+166822916.87)/1000</f>
        <v>235408.28219999999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f>1379657.69/1000</f>
        <v>1379.65769</v>
      </c>
      <c r="E206" s="66">
        <f>138054786.18/1000</f>
        <v>138054.78618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/>
      <c r="E207" s="66">
        <f>4382445/1000</f>
        <v>4382.4449999999997</v>
      </c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10694.97841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>
        <f>10694978.41/1000</f>
        <v>10694.97841</v>
      </c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461.37346000000002</v>
      </c>
      <c r="E213" s="62">
        <f>SUM(E214:E219)</f>
        <v>1208.6424999999999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f>461373.46/1000</f>
        <v>461.37346000000002</v>
      </c>
      <c r="E214" s="66">
        <f>1208642.5/1000</f>
        <v>1208.6424999999999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49921.907719999996</v>
      </c>
      <c r="E220" s="62">
        <f>SUM(E221:E222)</f>
        <v>25986.878769999999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>
        <f>49921907.72/1000</f>
        <v>49921.907719999996</v>
      </c>
      <c r="E221" s="66">
        <f>25986878.77/1000</f>
        <v>25986.878769999999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0</v>
      </c>
      <c r="E223" s="62">
        <f>SUM(E224:E226)</f>
        <v>851.42869999999994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/>
      <c r="E226" s="66">
        <f>851428.7/1000</f>
        <v>851.42869999999994</v>
      </c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334061.89648</v>
      </c>
      <c r="E227" s="78">
        <f>+E223+E220+E213+E208+E204+E195+E192+E189+E182+E177+E171+E168+E164+E161+E158+E152+E142+E133</f>
        <v>684336.88454999996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-23998.469580000034</v>
      </c>
      <c r="E228" s="109">
        <f>+E129-E227</f>
        <v>-113270.42602000001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-2.2100000060163438E-3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40:E141 D143:D151 D153:D157 D160:E160 D163:E163 D165:E167 D169:E170 D172:E176 D178:E181 D183:E188 D190:E191 D193:E194 D196:E203 D205:D207 D210:E212 D215:E219 D222:E222 D224:E225 D134:D139 D159 D209 D214 D221 D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F232 B242" name="Rango2_1"/>
    <protectedRange sqref="E134:E139" name="Rango2_4"/>
    <protectedRange sqref="E143:E151" name="Rango2_6"/>
    <protectedRange sqref="E153:E157" name="Rango2_7"/>
    <protectedRange sqref="E159" name="Rango2_8"/>
    <protectedRange sqref="E205:E207" name="Rango2_9"/>
    <protectedRange sqref="E209" name="Rango2_10"/>
    <protectedRange sqref="E214" name="Rango2_11"/>
    <protectedRange sqref="E221" name="Rango2_12"/>
    <protectedRange sqref="E226" name="Rango2_13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opLeftCell="A7" workbookViewId="0">
      <pane xSplit="2" ySplit="5" topLeftCell="U45" activePane="bottomRight" state="frozen"/>
      <selection activeCell="A7" sqref="A7"/>
      <selection pane="topRight" activeCell="C7" sqref="C7"/>
      <selection pane="bottomLeft" activeCell="A12" sqref="A12"/>
      <selection pane="bottomRight" activeCell="AE20" sqref="AE20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71" t="str">
        <f ca="1">Data!N1</f>
        <v xml:space="preserve">Consejo Nacional de Investigaciones Científicas y Tecnológicas (CONICIT) 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5"/>
      <c r="W2" s="5"/>
      <c r="X2" s="5"/>
    </row>
    <row r="3" spans="1:24" s="4" customFormat="1" ht="15.75" x14ac:dyDescent="0.25">
      <c r="A3" s="171" t="s">
        <v>853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5"/>
      <c r="W3" s="5"/>
      <c r="X3" s="5"/>
    </row>
    <row r="4" spans="1:24" s="4" customFormat="1" ht="15.75" x14ac:dyDescent="0.25">
      <c r="A4" s="171" t="str">
        <f ca="1">+EstadoResultados_Rendimiento!A3</f>
        <v>Del 01 de Enero de 2020 al 31 de Marzo de 2020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5"/>
      <c r="W4" s="5"/>
      <c r="X4" s="5"/>
    </row>
    <row r="5" spans="1:24" s="4" customFormat="1" ht="15.75" x14ac:dyDescent="0.25">
      <c r="A5" s="172" t="s">
        <v>1584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73" t="s">
        <v>1590</v>
      </c>
      <c r="B7" s="173" t="s">
        <v>854</v>
      </c>
      <c r="C7" s="174" t="s">
        <v>855</v>
      </c>
      <c r="D7" s="175"/>
      <c r="E7" s="175"/>
      <c r="F7" s="175"/>
      <c r="G7" s="176"/>
      <c r="H7" s="177" t="s">
        <v>856</v>
      </c>
      <c r="I7" s="178"/>
      <c r="J7" s="178"/>
      <c r="K7" s="178"/>
      <c r="L7" s="178"/>
      <c r="M7" s="178"/>
      <c r="N7" s="179"/>
      <c r="O7" s="168" t="s">
        <v>1591</v>
      </c>
      <c r="P7" s="180" t="s">
        <v>857</v>
      </c>
      <c r="Q7" s="181"/>
      <c r="R7" s="181"/>
      <c r="S7" s="181"/>
      <c r="T7" s="182"/>
      <c r="U7" s="168" t="s">
        <v>1592</v>
      </c>
    </row>
    <row r="8" spans="1:24" s="9" customFormat="1" ht="16.5" x14ac:dyDescent="0.25">
      <c r="A8" s="173"/>
      <c r="B8" s="173"/>
      <c r="C8" s="168" t="s">
        <v>858</v>
      </c>
      <c r="D8" s="168" t="s">
        <v>859</v>
      </c>
      <c r="E8" s="168" t="s">
        <v>860</v>
      </c>
      <c r="F8" s="168" t="s">
        <v>861</v>
      </c>
      <c r="G8" s="168" t="s">
        <v>1593</v>
      </c>
      <c r="H8" s="165" t="s">
        <v>862</v>
      </c>
      <c r="I8" s="165" t="s">
        <v>863</v>
      </c>
      <c r="J8" s="165" t="s">
        <v>859</v>
      </c>
      <c r="K8" s="165" t="s">
        <v>860</v>
      </c>
      <c r="L8" s="165" t="s">
        <v>861</v>
      </c>
      <c r="M8" s="165" t="s">
        <v>864</v>
      </c>
      <c r="N8" s="165" t="s">
        <v>1594</v>
      </c>
      <c r="O8" s="168"/>
      <c r="P8" s="164" t="s">
        <v>865</v>
      </c>
      <c r="Q8" s="164" t="s">
        <v>852</v>
      </c>
      <c r="R8" s="164" t="s">
        <v>863</v>
      </c>
      <c r="S8" s="164" t="s">
        <v>866</v>
      </c>
      <c r="T8" s="164" t="s">
        <v>867</v>
      </c>
      <c r="U8" s="168"/>
    </row>
    <row r="9" spans="1:24" s="9" customFormat="1" ht="16.5" x14ac:dyDescent="0.25">
      <c r="A9" s="173"/>
      <c r="B9" s="173"/>
      <c r="C9" s="168"/>
      <c r="D9" s="168"/>
      <c r="E9" s="168"/>
      <c r="F9" s="168"/>
      <c r="G9" s="168"/>
      <c r="H9" s="165"/>
      <c r="I9" s="165"/>
      <c r="J9" s="165"/>
      <c r="K9" s="165"/>
      <c r="L9" s="165"/>
      <c r="M9" s="165"/>
      <c r="N9" s="165"/>
      <c r="O9" s="168"/>
      <c r="P9" s="164"/>
      <c r="Q9" s="164"/>
      <c r="R9" s="164"/>
      <c r="S9" s="164"/>
      <c r="T9" s="164"/>
      <c r="U9" s="168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1565050.1621000001</v>
      </c>
      <c r="D11" s="18">
        <f>SUM(D12:D23)</f>
        <v>22357.524189999996</v>
      </c>
      <c r="E11" s="147">
        <f>SUM(E12:E23)</f>
        <v>471455.06315</v>
      </c>
      <c r="F11" s="147">
        <f t="shared" ref="F11:T11" si="0">SUM(F12:F23)</f>
        <v>113937.57343000002</v>
      </c>
      <c r="G11" s="147">
        <f>SUM(G12:G23)</f>
        <v>1944925.1760100003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1552.1740600000001</v>
      </c>
      <c r="N11" s="147">
        <f t="shared" si="0"/>
        <v>1552.1740600000001</v>
      </c>
      <c r="O11" s="147">
        <f t="shared" si="0"/>
        <v>1946477.3500700002</v>
      </c>
      <c r="P11" s="18">
        <f t="shared" si="0"/>
        <v>-299830.68546000007</v>
      </c>
      <c r="Q11" s="18">
        <f t="shared" si="0"/>
        <v>-9555.1360299999997</v>
      </c>
      <c r="R11" s="18">
        <f t="shared" si="0"/>
        <v>0</v>
      </c>
      <c r="S11" s="147">
        <f t="shared" si="0"/>
        <v>-9555.1360299999997</v>
      </c>
      <c r="T11" s="147">
        <f t="shared" si="0"/>
        <v>-309385.82149</v>
      </c>
      <c r="U11" s="147">
        <f>SUM(U12:U23)</f>
        <v>1637091.5285800002</v>
      </c>
    </row>
    <row r="12" spans="1:24" ht="24" customHeight="1" x14ac:dyDescent="0.25">
      <c r="A12" s="21" t="s">
        <v>1596</v>
      </c>
      <c r="B12" s="22" t="s">
        <v>870</v>
      </c>
      <c r="C12" s="160">
        <v>199.9896</v>
      </c>
      <c r="D12" s="160"/>
      <c r="E12" s="161">
        <f>164771.4104+266381.65</f>
        <v>431153.06040000002</v>
      </c>
      <c r="F12" s="161"/>
      <c r="G12" s="154">
        <f>+C12+D12+E12-F12</f>
        <v>431353.05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431353.05</v>
      </c>
      <c r="P12" s="23">
        <v>0</v>
      </c>
      <c r="Q12" s="23"/>
      <c r="R12" s="23"/>
      <c r="S12" s="158">
        <f>+Q12-R12</f>
        <v>0</v>
      </c>
      <c r="T12" s="158">
        <f>+P12+S12</f>
        <v>0</v>
      </c>
      <c r="U12" s="158">
        <f>+O12+T12</f>
        <v>431353.05</v>
      </c>
    </row>
    <row r="13" spans="1:24" ht="24" customHeight="1" x14ac:dyDescent="0.25">
      <c r="A13" s="21" t="s">
        <v>1597</v>
      </c>
      <c r="B13" s="22" t="s">
        <v>871</v>
      </c>
      <c r="C13" s="160">
        <v>1281546.5490299999</v>
      </c>
      <c r="D13" s="160"/>
      <c r="E13" s="160">
        <f>39798872.75/1000</f>
        <v>39798.872750000002</v>
      </c>
      <c r="F13" s="160">
        <f>109609253.43/1000</f>
        <v>109609.25343000001</v>
      </c>
      <c r="G13" s="154">
        <f>+C13+D13+E13-F13</f>
        <v>1211736.1683499999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1211736.1683499999</v>
      </c>
      <c r="P13" s="23">
        <v>-111542.94975000001</v>
      </c>
      <c r="Q13" s="23">
        <f>-4499579.13/1000</f>
        <v>-4499.5791300000001</v>
      </c>
      <c r="R13" s="23"/>
      <c r="S13" s="158">
        <f t="shared" ref="S13:S41" si="3">+Q13-R13</f>
        <v>-4499.5791300000001</v>
      </c>
      <c r="T13" s="158">
        <f t="shared" ref="T13:T54" si="4">+P13+S13</f>
        <v>-116042.52888000001</v>
      </c>
      <c r="U13" s="158">
        <f t="shared" ref="U13:U54" si="5">+O13+T13</f>
        <v>1095693.6394699998</v>
      </c>
    </row>
    <row r="14" spans="1:24" ht="24" customHeight="1" x14ac:dyDescent="0.25">
      <c r="A14" s="21" t="s">
        <v>1598</v>
      </c>
      <c r="B14" s="22" t="s">
        <v>872</v>
      </c>
      <c r="C14" s="160">
        <v>16267.079300000001</v>
      </c>
      <c r="D14" s="160"/>
      <c r="E14" s="161"/>
      <c r="F14" s="161"/>
      <c r="G14" s="154">
        <f>+C14+D14+E14-F14</f>
        <v>16267.079300000001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16267.079300000001</v>
      </c>
      <c r="P14" s="23">
        <v>-4644.5420299999996</v>
      </c>
      <c r="Q14" s="23">
        <f>-232461.12/1000</f>
        <v>-232.46111999999999</v>
      </c>
      <c r="R14" s="23"/>
      <c r="S14" s="158">
        <f t="shared" si="3"/>
        <v>-232.46111999999999</v>
      </c>
      <c r="T14" s="158">
        <f t="shared" si="4"/>
        <v>-4877.0031499999996</v>
      </c>
      <c r="U14" s="158">
        <f t="shared" si="5"/>
        <v>11390.076150000001</v>
      </c>
    </row>
    <row r="15" spans="1:24" ht="24" customHeight="1" x14ac:dyDescent="0.25">
      <c r="A15" s="21" t="s">
        <v>1599</v>
      </c>
      <c r="B15" s="22" t="s">
        <v>873</v>
      </c>
      <c r="C15" s="160">
        <v>60015.915999999997</v>
      </c>
      <c r="D15" s="160"/>
      <c r="E15" s="161"/>
      <c r="F15" s="161"/>
      <c r="G15" s="154">
        <f>+C15+D15+E15-F15</f>
        <v>60015.915999999997</v>
      </c>
      <c r="H15" s="23"/>
      <c r="I15" s="23"/>
      <c r="J15" s="23"/>
      <c r="K15" s="23"/>
      <c r="L15" s="23"/>
      <c r="M15" s="23"/>
      <c r="N15" s="154">
        <f t="shared" si="1"/>
        <v>0</v>
      </c>
      <c r="O15" s="155">
        <f t="shared" si="2"/>
        <v>60015.915999999997</v>
      </c>
      <c r="P15" s="23">
        <v>-54014.324399999998</v>
      </c>
      <c r="Q15" s="23">
        <v>0</v>
      </c>
      <c r="R15" s="23"/>
      <c r="S15" s="158">
        <f t="shared" si="3"/>
        <v>0</v>
      </c>
      <c r="T15" s="158">
        <f t="shared" si="4"/>
        <v>-54014.324399999998</v>
      </c>
      <c r="U15" s="158">
        <f t="shared" si="5"/>
        <v>6001.5915999999997</v>
      </c>
    </row>
    <row r="16" spans="1:24" ht="24" customHeight="1" x14ac:dyDescent="0.25">
      <c r="A16" s="21" t="s">
        <v>1600</v>
      </c>
      <c r="B16" s="22" t="s">
        <v>874</v>
      </c>
      <c r="C16" s="160">
        <v>23976.264050000002</v>
      </c>
      <c r="D16" s="160"/>
      <c r="E16" s="161"/>
      <c r="F16" s="161"/>
      <c r="G16" s="154">
        <f>+C16+D16+E16-F16</f>
        <v>23976.264050000002</v>
      </c>
      <c r="H16" s="23"/>
      <c r="I16" s="23"/>
      <c r="J16" s="23"/>
      <c r="K16" s="23"/>
      <c r="L16" s="23"/>
      <c r="M16" s="23"/>
      <c r="N16" s="154">
        <f t="shared" si="1"/>
        <v>0</v>
      </c>
      <c r="O16" s="155">
        <f t="shared" si="2"/>
        <v>23976.264050000002</v>
      </c>
      <c r="P16" s="23">
        <v>-14038.339829999999</v>
      </c>
      <c r="Q16" s="23">
        <f>(-8477.04-208002.54-121498.23)/1000</f>
        <v>-337.97780999999998</v>
      </c>
      <c r="R16" s="23"/>
      <c r="S16" s="158">
        <f t="shared" si="3"/>
        <v>-337.97780999999998</v>
      </c>
      <c r="T16" s="158">
        <f t="shared" si="4"/>
        <v>-14376.317639999999</v>
      </c>
      <c r="U16" s="158">
        <f t="shared" si="5"/>
        <v>9599.9464100000023</v>
      </c>
    </row>
    <row r="17" spans="1:21" s="20" customFormat="1" ht="24" customHeight="1" x14ac:dyDescent="0.25">
      <c r="A17" s="21" t="s">
        <v>1601</v>
      </c>
      <c r="B17" s="22" t="s">
        <v>875</v>
      </c>
      <c r="C17" s="160">
        <v>72352.783370000005</v>
      </c>
      <c r="D17" s="160">
        <v>720.51242999999999</v>
      </c>
      <c r="E17" s="161">
        <v>503.13</v>
      </c>
      <c r="F17" s="161">
        <v>4328.32</v>
      </c>
      <c r="G17" s="154">
        <f t="shared" ref="G17:G54" si="6">+C17+D17+E17-F17</f>
        <v>69248.105800000019</v>
      </c>
      <c r="H17" s="23"/>
      <c r="I17" s="23"/>
      <c r="J17" s="23"/>
      <c r="K17" s="23"/>
      <c r="L17" s="23"/>
      <c r="M17" s="23"/>
      <c r="N17" s="154">
        <f t="shared" si="1"/>
        <v>0</v>
      </c>
      <c r="O17" s="155">
        <f t="shared" si="2"/>
        <v>69248.105800000019</v>
      </c>
      <c r="P17" s="23">
        <v>-32852.488420000001</v>
      </c>
      <c r="Q17" s="23">
        <f>(-438243.15-469366.17-61810.53-445.5-96752.76)/1000</f>
        <v>-1066.6181100000001</v>
      </c>
      <c r="R17" s="23"/>
      <c r="S17" s="158">
        <f t="shared" si="3"/>
        <v>-1066.6181100000001</v>
      </c>
      <c r="T17" s="158">
        <f t="shared" si="4"/>
        <v>-33919.106530000005</v>
      </c>
      <c r="U17" s="158">
        <f t="shared" si="5"/>
        <v>35328.999270000015</v>
      </c>
    </row>
    <row r="18" spans="1:21" s="20" customFormat="1" ht="24" customHeight="1" x14ac:dyDescent="0.25">
      <c r="A18" s="21" t="s">
        <v>1602</v>
      </c>
      <c r="B18" s="22" t="s">
        <v>876</v>
      </c>
      <c r="C18" s="160">
        <v>104907.56125</v>
      </c>
      <c r="D18" s="160">
        <f>24371.88799-735.36-2586.25</f>
        <v>21050.277989999999</v>
      </c>
      <c r="E18" s="161"/>
      <c r="F18" s="161"/>
      <c r="G18" s="154">
        <f>+C18+D18+E18-F18</f>
        <v>125957.83924</v>
      </c>
      <c r="H18" s="23"/>
      <c r="I18" s="23"/>
      <c r="J18" s="23"/>
      <c r="K18" s="23"/>
      <c r="L18" s="23"/>
      <c r="M18" s="23">
        <f>(2444001.61-109694.14+61770.45+20555.52+19101.96+109694.14-993255.48+61770.45-61770.45+20555.52-20555.52)/1000</f>
        <v>1552.1740600000001</v>
      </c>
      <c r="N18" s="154">
        <f t="shared" si="1"/>
        <v>1552.1740600000001</v>
      </c>
      <c r="O18" s="155">
        <f t="shared" si="2"/>
        <v>127510.01330000001</v>
      </c>
      <c r="P18" s="23">
        <v>-80034.728279999996</v>
      </c>
      <c r="Q18" s="23">
        <f>(13253.42-2927080.59-68733.72-26288.92-254297.61-54302.88+53013.68-26506.84)/1000</f>
        <v>-3290.9434599999995</v>
      </c>
      <c r="R18" s="23"/>
      <c r="S18" s="158">
        <f t="shared" si="3"/>
        <v>-3290.9434599999995</v>
      </c>
      <c r="T18" s="158">
        <f t="shared" si="4"/>
        <v>-83325.671739999991</v>
      </c>
      <c r="U18" s="158">
        <f>+O18+T18</f>
        <v>44184.341560000015</v>
      </c>
    </row>
    <row r="19" spans="1:21" s="20" customFormat="1" ht="24" customHeight="1" x14ac:dyDescent="0.25">
      <c r="A19" s="21" t="s">
        <v>1603</v>
      </c>
      <c r="B19" s="22" t="s">
        <v>877</v>
      </c>
      <c r="C19" s="160">
        <v>425.58499999999998</v>
      </c>
      <c r="D19" s="160"/>
      <c r="E19" s="161"/>
      <c r="F19" s="161"/>
      <c r="G19" s="154">
        <f t="shared" si="6"/>
        <v>425.58499999999998</v>
      </c>
      <c r="H19" s="23"/>
      <c r="I19" s="23"/>
      <c r="J19" s="23"/>
      <c r="K19" s="23"/>
      <c r="L19" s="23"/>
      <c r="M19" s="23"/>
      <c r="N19" s="154">
        <f t="shared" si="1"/>
        <v>0</v>
      </c>
      <c r="O19" s="155">
        <f t="shared" si="2"/>
        <v>425.58499999999998</v>
      </c>
      <c r="P19" s="23">
        <v>-331.31400000000002</v>
      </c>
      <c r="Q19" s="23">
        <f>-2216.25/1000</f>
        <v>-2.2162500000000001</v>
      </c>
      <c r="R19" s="23"/>
      <c r="S19" s="158">
        <f t="shared" si="3"/>
        <v>-2.2162500000000001</v>
      </c>
      <c r="T19" s="158">
        <f t="shared" si="4"/>
        <v>-333.53025000000002</v>
      </c>
      <c r="U19" s="158">
        <f t="shared" si="5"/>
        <v>92.054749999999956</v>
      </c>
    </row>
    <row r="20" spans="1:21" s="20" customFormat="1" ht="24" customHeight="1" x14ac:dyDescent="0.25">
      <c r="A20" s="21" t="s">
        <v>1604</v>
      </c>
      <c r="B20" s="22" t="s">
        <v>878</v>
      </c>
      <c r="C20" s="160">
        <v>1629.278</v>
      </c>
      <c r="D20" s="160"/>
      <c r="E20" s="161"/>
      <c r="F20" s="161"/>
      <c r="G20" s="154">
        <f t="shared" si="6"/>
        <v>1629.278</v>
      </c>
      <c r="H20" s="23"/>
      <c r="I20" s="23"/>
      <c r="J20" s="23"/>
      <c r="K20" s="23"/>
      <c r="L20" s="23"/>
      <c r="M20" s="23"/>
      <c r="N20" s="154">
        <f t="shared" si="1"/>
        <v>0</v>
      </c>
      <c r="O20" s="155">
        <f t="shared" si="2"/>
        <v>1629.278</v>
      </c>
      <c r="P20" s="23">
        <v>-972.85663999999997</v>
      </c>
      <c r="Q20" s="23">
        <f>(-966.15-51764.61-4222.77)/1000</f>
        <v>-56.953530000000001</v>
      </c>
      <c r="R20" s="23"/>
      <c r="S20" s="158">
        <f t="shared" si="3"/>
        <v>-56.953530000000001</v>
      </c>
      <c r="T20" s="158">
        <f t="shared" si="4"/>
        <v>-1029.81017</v>
      </c>
      <c r="U20" s="158">
        <f t="shared" si="5"/>
        <v>599.46783000000005</v>
      </c>
    </row>
    <row r="21" spans="1:21" s="20" customFormat="1" ht="24" customHeight="1" x14ac:dyDescent="0.25">
      <c r="A21" s="21" t="s">
        <v>1605</v>
      </c>
      <c r="B21" s="22" t="s">
        <v>879</v>
      </c>
      <c r="C21" s="160">
        <v>2054.0864999999999</v>
      </c>
      <c r="D21" s="160"/>
      <c r="E21" s="161"/>
      <c r="F21" s="161"/>
      <c r="G21" s="154">
        <f>+C21+D21+E21-F21</f>
        <v>2054.0864999999999</v>
      </c>
      <c r="H21" s="23"/>
      <c r="I21" s="23"/>
      <c r="J21" s="23"/>
      <c r="K21" s="23"/>
      <c r="L21" s="23"/>
      <c r="M21" s="23"/>
      <c r="N21" s="154">
        <f t="shared" si="1"/>
        <v>0</v>
      </c>
      <c r="O21" s="155">
        <f t="shared" si="2"/>
        <v>2054.0864999999999</v>
      </c>
      <c r="P21" s="23">
        <v>-1038.27143</v>
      </c>
      <c r="Q21" s="23">
        <f>(-13610.85-5525.7)/1000</f>
        <v>-19.13655</v>
      </c>
      <c r="R21" s="23"/>
      <c r="S21" s="158">
        <f t="shared" si="3"/>
        <v>-19.13655</v>
      </c>
      <c r="T21" s="158">
        <f t="shared" si="4"/>
        <v>-1057.40798</v>
      </c>
      <c r="U21" s="158">
        <f t="shared" si="5"/>
        <v>996.67851999999993</v>
      </c>
    </row>
    <row r="22" spans="1:21" s="20" customFormat="1" ht="24" customHeight="1" x14ac:dyDescent="0.25">
      <c r="A22" s="21" t="s">
        <v>1606</v>
      </c>
      <c r="B22" s="22" t="s">
        <v>880</v>
      </c>
      <c r="C22" s="160">
        <v>0</v>
      </c>
      <c r="D22" s="160"/>
      <c r="E22" s="161"/>
      <c r="F22" s="161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23">
        <v>0</v>
      </c>
      <c r="Q22" s="23">
        <v>0</v>
      </c>
      <c r="R22" s="23"/>
      <c r="S22" s="158">
        <f t="shared" si="3"/>
        <v>0</v>
      </c>
      <c r="T22" s="158">
        <f t="shared" si="4"/>
        <v>0</v>
      </c>
      <c r="U22" s="158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160">
        <v>1675.07</v>
      </c>
      <c r="D23" s="160">
        <v>586.73377000000005</v>
      </c>
      <c r="E23" s="161"/>
      <c r="F23" s="161"/>
      <c r="G23" s="154">
        <f>+C23+D23+E23-F23</f>
        <v>2261.80377</v>
      </c>
      <c r="H23" s="23"/>
      <c r="I23" s="23"/>
      <c r="J23" s="23"/>
      <c r="K23" s="23"/>
      <c r="L23" s="23"/>
      <c r="M23" s="23"/>
      <c r="N23" s="154">
        <f t="shared" si="1"/>
        <v>0</v>
      </c>
      <c r="O23" s="155">
        <f t="shared" si="2"/>
        <v>2261.80377</v>
      </c>
      <c r="P23" s="23">
        <v>-360.87067999999999</v>
      </c>
      <c r="Q23" s="23">
        <f>(-25566.12-12305.37-11378.58)/1000</f>
        <v>-49.250070000000001</v>
      </c>
      <c r="R23" s="23"/>
      <c r="S23" s="158">
        <f t="shared" si="3"/>
        <v>-49.250070000000001</v>
      </c>
      <c r="T23" s="158">
        <f t="shared" si="4"/>
        <v>-410.12074999999999</v>
      </c>
      <c r="U23" s="158">
        <f t="shared" si="5"/>
        <v>1851.6830199999999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3"/>
        <v>0</v>
      </c>
      <c r="T25" s="158">
        <f t="shared" si="4"/>
        <v>0</v>
      </c>
      <c r="U25" s="158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3"/>
        <v>0</v>
      </c>
      <c r="T26" s="158">
        <f t="shared" si="4"/>
        <v>0</v>
      </c>
      <c r="U26" s="158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3"/>
        <v>0</v>
      </c>
      <c r="T27" s="158">
        <f t="shared" si="4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3"/>
        <v>0</v>
      </c>
      <c r="T28" s="158">
        <f t="shared" si="4"/>
        <v>0</v>
      </c>
      <c r="U28" s="158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3"/>
        <v>0</v>
      </c>
      <c r="T29" s="158">
        <f t="shared" si="4"/>
        <v>0</v>
      </c>
      <c r="U29" s="158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3"/>
        <v>0</v>
      </c>
      <c r="T31" s="158">
        <f t="shared" si="4"/>
        <v>0</v>
      </c>
      <c r="U31" s="158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3"/>
        <v>0</v>
      </c>
      <c r="T32" s="158">
        <f t="shared" si="4"/>
        <v>0</v>
      </c>
      <c r="U32" s="158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3"/>
        <v>0</v>
      </c>
      <c r="T33" s="158">
        <f t="shared" si="4"/>
        <v>0</v>
      </c>
      <c r="U33" s="158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3"/>
        <v>0</v>
      </c>
      <c r="T34" s="158">
        <f t="shared" si="4"/>
        <v>0</v>
      </c>
      <c r="U34" s="158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3"/>
        <v>0</v>
      </c>
      <c r="T36" s="158">
        <f t="shared" si="4"/>
        <v>0</v>
      </c>
      <c r="U36" s="158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3"/>
        <v>0</v>
      </c>
      <c r="T37" s="158">
        <f t="shared" si="4"/>
        <v>0</v>
      </c>
      <c r="U37" s="158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3"/>
        <v>0</v>
      </c>
      <c r="T38" s="158">
        <f t="shared" si="4"/>
        <v>0</v>
      </c>
      <c r="U38" s="158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3"/>
        <v>0</v>
      </c>
      <c r="T40" s="158">
        <f t="shared" si="4"/>
        <v>0</v>
      </c>
      <c r="U40" s="158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3"/>
        <v>0</v>
      </c>
      <c r="T41" s="158">
        <f t="shared" si="4"/>
        <v>0</v>
      </c>
      <c r="U41" s="158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6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4"/>
        <v>0</v>
      </c>
      <c r="U43" s="158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6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4"/>
        <v>0</v>
      </c>
      <c r="U44" s="158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8588.9011100000007</v>
      </c>
      <c r="D45" s="18">
        <f>SUM(D46:D49)</f>
        <v>29815.085219999997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38403.986329999992</v>
      </c>
      <c r="H45" s="18">
        <f t="shared" si="13"/>
        <v>0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0</v>
      </c>
      <c r="O45" s="147">
        <f t="shared" si="13"/>
        <v>38403.986329999992</v>
      </c>
      <c r="P45" s="18">
        <f t="shared" si="13"/>
        <v>-6291.4364300000007</v>
      </c>
      <c r="Q45" s="18">
        <f t="shared" si="13"/>
        <v>-2587.6476600000001</v>
      </c>
      <c r="R45" s="18">
        <f t="shared" si="13"/>
        <v>0</v>
      </c>
      <c r="S45" s="147">
        <f t="shared" si="13"/>
        <v>-2587.6476600000001</v>
      </c>
      <c r="T45" s="147">
        <f t="shared" si="13"/>
        <v>-8879.0840900000003</v>
      </c>
      <c r="U45" s="147">
        <f t="shared" si="13"/>
        <v>29524.902239999992</v>
      </c>
    </row>
    <row r="46" spans="1:21" s="20" customFormat="1" ht="24" customHeight="1" x14ac:dyDescent="0.25">
      <c r="A46" s="21" t="s">
        <v>1632</v>
      </c>
      <c r="B46" s="22" t="s">
        <v>894</v>
      </c>
      <c r="C46" s="160"/>
      <c r="D46" s="23"/>
      <c r="E46" s="148"/>
      <c r="F46" s="148"/>
      <c r="G46" s="154">
        <f>+C46+D46+E46-F46</f>
        <v>0</v>
      </c>
      <c r="H46" s="23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23"/>
      <c r="Q46" s="23"/>
      <c r="R46" s="23"/>
      <c r="S46" s="158">
        <f t="shared" ref="S46:S54" si="14">+Q46-R46</f>
        <v>0</v>
      </c>
      <c r="T46" s="158">
        <f t="shared" si="4"/>
        <v>0</v>
      </c>
      <c r="U46" s="158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160"/>
      <c r="D47" s="23"/>
      <c r="E47" s="148"/>
      <c r="F47" s="148"/>
      <c r="G47" s="154">
        <f>+C47+D47+E47-F47</f>
        <v>0</v>
      </c>
      <c r="H47" s="23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23"/>
      <c r="Q47" s="23"/>
      <c r="R47" s="23"/>
      <c r="S47" s="158">
        <f t="shared" si="14"/>
        <v>0</v>
      </c>
      <c r="T47" s="158">
        <f t="shared" si="4"/>
        <v>0</v>
      </c>
      <c r="U47" s="158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160">
        <f>8205748.11/1000</f>
        <v>8205.7481100000005</v>
      </c>
      <c r="D48" s="160">
        <f>625018.88/1000+27429999.68/1000+10361384.61/1000-3084900/1000-1956292.17/1000-3560125.78/1000</f>
        <v>29815.085219999997</v>
      </c>
      <c r="E48" s="148"/>
      <c r="F48" s="148"/>
      <c r="G48" s="154">
        <f>+C48+D48+E48-F48</f>
        <v>38020.833329999994</v>
      </c>
      <c r="H48" s="23"/>
      <c r="I48" s="23"/>
      <c r="J48" s="23"/>
      <c r="K48" s="23"/>
      <c r="L48" s="23"/>
      <c r="M48" s="23"/>
      <c r="N48" s="154">
        <f t="shared" si="1"/>
        <v>0</v>
      </c>
      <c r="O48" s="155">
        <f t="shared" si="2"/>
        <v>38020.833329999994</v>
      </c>
      <c r="P48" s="160">
        <f>-3836.73416-2055687.84/1000-399014.43/1000</f>
        <v>-6291.4364300000007</v>
      </c>
      <c r="Q48" s="23">
        <f>-2587647.66/1000</f>
        <v>-2587.6476600000001</v>
      </c>
      <c r="R48" s="23"/>
      <c r="S48" s="158">
        <f t="shared" si="14"/>
        <v>-2587.6476600000001</v>
      </c>
      <c r="T48" s="158">
        <f t="shared" si="4"/>
        <v>-8879.0840900000003</v>
      </c>
      <c r="U48" s="158">
        <f t="shared" si="5"/>
        <v>29141.749239999994</v>
      </c>
    </row>
    <row r="49" spans="1:24" ht="24" customHeight="1" x14ac:dyDescent="0.25">
      <c r="A49" s="21" t="s">
        <v>1635</v>
      </c>
      <c r="B49" s="22" t="s">
        <v>897</v>
      </c>
      <c r="C49" s="160">
        <f>383153/1000</f>
        <v>383.15300000000002</v>
      </c>
      <c r="D49" s="23"/>
      <c r="E49" s="148"/>
      <c r="F49" s="148"/>
      <c r="G49" s="154">
        <f>+C49+D49+E49-F49</f>
        <v>383.15300000000002</v>
      </c>
      <c r="H49" s="23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383.15300000000002</v>
      </c>
      <c r="P49" s="23"/>
      <c r="Q49" s="23"/>
      <c r="R49" s="23"/>
      <c r="S49" s="158">
        <f t="shared" si="14"/>
        <v>0</v>
      </c>
      <c r="T49" s="158">
        <f t="shared" si="4"/>
        <v>0</v>
      </c>
      <c r="U49" s="158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6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4"/>
        <v>0</v>
      </c>
      <c r="U51" s="158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6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4"/>
        <v>0</v>
      </c>
      <c r="U52" s="158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6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4"/>
        <v>0</v>
      </c>
      <c r="U53" s="158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6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4"/>
        <v>0</v>
      </c>
      <c r="U54" s="158">
        <f t="shared" si="5"/>
        <v>0</v>
      </c>
    </row>
    <row r="55" spans="1:24" s="4" customFormat="1" ht="24" customHeight="1" x14ac:dyDescent="0.25">
      <c r="A55" s="169" t="s">
        <v>901</v>
      </c>
      <c r="B55" s="169"/>
      <c r="C55" s="27">
        <f t="shared" ref="C55:U55" si="16">C11+C24+C30+C35+C39+C42+C45+C50</f>
        <v>1573639.0632100001</v>
      </c>
      <c r="D55" s="27">
        <f t="shared" si="16"/>
        <v>52172.60940999999</v>
      </c>
      <c r="E55" s="149">
        <f t="shared" si="16"/>
        <v>471455.06315</v>
      </c>
      <c r="F55" s="149">
        <f t="shared" si="16"/>
        <v>113937.57343000002</v>
      </c>
      <c r="G55" s="149">
        <f t="shared" si="16"/>
        <v>1983329.1623400003</v>
      </c>
      <c r="H55" s="27">
        <f t="shared" si="16"/>
        <v>0</v>
      </c>
      <c r="I55" s="27">
        <f t="shared" si="16"/>
        <v>0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1552.1740600000001</v>
      </c>
      <c r="N55" s="149">
        <f t="shared" si="16"/>
        <v>1552.1740600000001</v>
      </c>
      <c r="O55" s="149">
        <f t="shared" si="16"/>
        <v>1984881.3364000001</v>
      </c>
      <c r="P55" s="27">
        <f t="shared" si="16"/>
        <v>-306122.12189000007</v>
      </c>
      <c r="Q55" s="27">
        <f t="shared" si="16"/>
        <v>-12142.78369</v>
      </c>
      <c r="R55" s="27">
        <f t="shared" si="16"/>
        <v>0</v>
      </c>
      <c r="S55" s="149">
        <f t="shared" si="16"/>
        <v>-12142.78369</v>
      </c>
      <c r="T55" s="149">
        <f t="shared" si="16"/>
        <v>-318264.90558000002</v>
      </c>
      <c r="U55" s="149">
        <f t="shared" si="16"/>
        <v>1666616.4308200001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69" t="s">
        <v>905</v>
      </c>
      <c r="B91" s="169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70" t="s">
        <v>1675</v>
      </c>
      <c r="B93" s="170"/>
      <c r="C93" s="32">
        <f t="shared" ref="C93:U93" si="31">+C91+C55</f>
        <v>1573639.0632100001</v>
      </c>
      <c r="D93" s="32">
        <f t="shared" si="31"/>
        <v>52172.60940999999</v>
      </c>
      <c r="E93" s="151">
        <f t="shared" si="31"/>
        <v>471455.06315</v>
      </c>
      <c r="F93" s="151">
        <f t="shared" si="31"/>
        <v>113937.57343000002</v>
      </c>
      <c r="G93" s="151">
        <f t="shared" si="31"/>
        <v>1983329.1623400003</v>
      </c>
      <c r="H93" s="32">
        <f t="shared" si="31"/>
        <v>0</v>
      </c>
      <c r="I93" s="32">
        <f t="shared" si="31"/>
        <v>0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1552.1740600000001</v>
      </c>
      <c r="N93" s="151">
        <f t="shared" si="31"/>
        <v>1552.1740600000001</v>
      </c>
      <c r="O93" s="151">
        <f t="shared" si="31"/>
        <v>1984881.3364000001</v>
      </c>
      <c r="P93" s="32">
        <f t="shared" si="31"/>
        <v>-306122.12189000007</v>
      </c>
      <c r="Q93" s="32">
        <f t="shared" si="31"/>
        <v>-12142.78369</v>
      </c>
      <c r="R93" s="32">
        <f t="shared" si="31"/>
        <v>0</v>
      </c>
      <c r="S93" s="151">
        <f t="shared" si="31"/>
        <v>-12142.78369</v>
      </c>
      <c r="T93" s="151">
        <f t="shared" si="31"/>
        <v>-318264.90558000002</v>
      </c>
      <c r="U93" s="151">
        <f t="shared" si="31"/>
        <v>1666616.4308200001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66"/>
      <c r="B95" s="166"/>
      <c r="C95" s="166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67" t="s">
        <v>1581</v>
      </c>
      <c r="E102" s="167"/>
      <c r="F102" s="153"/>
      <c r="G102" s="167" t="s">
        <v>1582</v>
      </c>
      <c r="H102" s="167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P8:P9"/>
    <mergeCell ref="Q8:Q9"/>
    <mergeCell ref="R8:R9"/>
    <mergeCell ref="H8:H9"/>
    <mergeCell ref="I8:I9"/>
    <mergeCell ref="J8:J9"/>
    <mergeCell ref="K8:K9"/>
    <mergeCell ref="L8:L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opLeftCell="A34" zoomScaleNormal="100" zoomScaleSheetLayoutView="90" workbookViewId="0">
      <selection activeCell="A53" sqref="A53:XFD56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71" t="str">
        <f ca="1">Data!N1</f>
        <v xml:space="preserve">Consejo Nacional de Investigaciones Científicas y Tecnológicas (CONICIT) 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</row>
    <row r="3" spans="1:29" s="132" customFormat="1" ht="15.75" x14ac:dyDescent="0.25">
      <c r="A3" s="183" t="s">
        <v>914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</row>
    <row r="4" spans="1:29" s="132" customFormat="1" ht="15.75" x14ac:dyDescent="0.25">
      <c r="A4" s="171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31 de Marzo de 2020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1:29" s="131" customFormat="1" ht="18" customHeight="1" x14ac:dyDescent="0.25">
      <c r="A5" s="185" t="s">
        <v>1584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</row>
    <row r="6" spans="1:29" s="9" customFormat="1" ht="37.5" customHeight="1" x14ac:dyDescent="0.25">
      <c r="A6" s="114" t="s">
        <v>916</v>
      </c>
      <c r="B6" s="184" t="s">
        <v>917</v>
      </c>
      <c r="C6" s="184"/>
      <c r="D6" s="184" t="s">
        <v>918</v>
      </c>
      <c r="E6" s="184"/>
      <c r="F6" s="184" t="s">
        <v>919</v>
      </c>
      <c r="G6" s="184"/>
      <c r="H6" s="184" t="s">
        <v>920</v>
      </c>
      <c r="I6" s="184"/>
      <c r="J6" s="184" t="s">
        <v>921</v>
      </c>
      <c r="K6" s="184"/>
      <c r="L6" s="184" t="s">
        <v>922</v>
      </c>
      <c r="M6" s="184"/>
      <c r="N6" s="184" t="s">
        <v>923</v>
      </c>
      <c r="O6" s="184"/>
      <c r="P6" s="184" t="s">
        <v>924</v>
      </c>
      <c r="Q6" s="184"/>
      <c r="R6" s="184" t="s">
        <v>925</v>
      </c>
      <c r="S6" s="184"/>
      <c r="T6" s="184" t="s">
        <v>926</v>
      </c>
      <c r="U6" s="184"/>
      <c r="V6" s="184" t="s">
        <v>927</v>
      </c>
      <c r="W6" s="184"/>
      <c r="X6" s="184" t="s">
        <v>928</v>
      </c>
      <c r="Y6" s="184"/>
      <c r="Z6" s="184" t="s">
        <v>1679</v>
      </c>
      <c r="AA6" s="184"/>
      <c r="AB6" s="184" t="s">
        <v>1680</v>
      </c>
      <c r="AC6" s="186"/>
    </row>
    <row r="7" spans="1:29" s="118" customFormat="1" ht="23.25" customHeight="1" x14ac:dyDescent="0.25">
      <c r="A7" s="133" t="s">
        <v>1681</v>
      </c>
      <c r="B7" s="127" t="str">
        <f ca="1">Data!C2</f>
        <v>2020</v>
      </c>
      <c r="C7" s="128">
        <f ca="1">Data!C2-1</f>
        <v>2019</v>
      </c>
      <c r="D7" s="129" t="str">
        <f ca="1">Data!C2</f>
        <v>2020</v>
      </c>
      <c r="E7" s="128">
        <f ca="1">Data!C2-1</f>
        <v>2019</v>
      </c>
      <c r="F7" s="129" t="str">
        <f ca="1">Data!C2</f>
        <v>2020</v>
      </c>
      <c r="G7" s="128">
        <f ca="1">Data!C2-1</f>
        <v>2019</v>
      </c>
      <c r="H7" s="129" t="str">
        <f ca="1">Data!C2</f>
        <v>2020</v>
      </c>
      <c r="I7" s="128">
        <f ca="1">Data!C2-1</f>
        <v>2019</v>
      </c>
      <c r="J7" s="129" t="str">
        <f ca="1">Data!C2</f>
        <v>2020</v>
      </c>
      <c r="K7" s="128">
        <f ca="1">Data!C2-1</f>
        <v>2019</v>
      </c>
      <c r="L7" s="129" t="str">
        <f ca="1">Data!C2</f>
        <v>2020</v>
      </c>
      <c r="M7" s="128">
        <f ca="1">Data!C2-1</f>
        <v>2019</v>
      </c>
      <c r="N7" s="129" t="str">
        <f ca="1">Data!C2</f>
        <v>2020</v>
      </c>
      <c r="O7" s="128">
        <f ca="1">Data!C2-1</f>
        <v>2019</v>
      </c>
      <c r="P7" s="129" t="str">
        <f ca="1">Data!C2</f>
        <v>2020</v>
      </c>
      <c r="Q7" s="128">
        <f ca="1">Data!C2-1</f>
        <v>2019</v>
      </c>
      <c r="R7" s="129" t="str">
        <f ca="1">Data!C2</f>
        <v>2020</v>
      </c>
      <c r="S7" s="128">
        <f ca="1">Data!C2-1</f>
        <v>2019</v>
      </c>
      <c r="T7" s="129" t="str">
        <f ca="1">Data!C2</f>
        <v>2020</v>
      </c>
      <c r="U7" s="128">
        <f ca="1">Data!C2-1</f>
        <v>2019</v>
      </c>
      <c r="V7" s="129" t="str">
        <f ca="1">Data!C2</f>
        <v>2020</v>
      </c>
      <c r="W7" s="128">
        <f ca="1">Data!C2-1</f>
        <v>2019</v>
      </c>
      <c r="X7" s="129" t="str">
        <f ca="1">Data!C2</f>
        <v>2020</v>
      </c>
      <c r="Y7" s="128">
        <f ca="1">Data!C2-1</f>
        <v>2019</v>
      </c>
      <c r="Z7" s="129" t="str">
        <f ca="1">Data!C2</f>
        <v>2020</v>
      </c>
      <c r="AA7" s="128">
        <f ca="1">Data!C2-1</f>
        <v>2019</v>
      </c>
      <c r="AB7" s="129" t="str">
        <f ca="1">Data!C2</f>
        <v>2020</v>
      </c>
      <c r="AC7" s="130">
        <f ca="1">Data!C2-1</f>
        <v>2019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189" t="s">
        <v>941</v>
      </c>
      <c r="B23" s="18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90"/>
      <c r="B24" s="190"/>
      <c r="C24" s="190"/>
      <c r="D24" s="190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187"/>
      <c r="B25" s="187"/>
      <c r="C25" s="187"/>
      <c r="D25" s="187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191"/>
      <c r="C26" s="191"/>
      <c r="D26" s="191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91"/>
      <c r="C27" s="191"/>
      <c r="D27" s="191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91"/>
      <c r="C28" s="191"/>
      <c r="D28" s="191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67" t="s">
        <v>1676</v>
      </c>
      <c r="C29" s="167"/>
      <c r="D29" s="167"/>
      <c r="F29" s="167" t="s">
        <v>1683</v>
      </c>
      <c r="G29" s="167"/>
      <c r="H29" s="167"/>
      <c r="J29" s="167" t="s">
        <v>1582</v>
      </c>
      <c r="K29" s="167"/>
      <c r="L29" s="167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188" t="str">
        <f ca="1">Data!N1</f>
        <v xml:space="preserve">Consejo Nacional de Investigaciones Científicas y Tecnológicas (CONICIT) 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188" t="s">
        <v>914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</row>
    <row r="37" spans="1:29" s="132" customFormat="1" ht="15.75" x14ac:dyDescent="0.25">
      <c r="A37" s="195" t="s">
        <v>942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</row>
    <row r="38" spans="1:29" s="132" customFormat="1" ht="15.75" x14ac:dyDescent="0.25">
      <c r="A38" s="171" t="s">
        <v>915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</row>
    <row r="39" spans="1:29" x14ac:dyDescent="0.25">
      <c r="A39" s="194" t="s">
        <v>1584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</row>
    <row r="40" spans="1:29" s="9" customFormat="1" ht="37.5" customHeight="1" x14ac:dyDescent="0.25">
      <c r="A40" s="141" t="s">
        <v>916</v>
      </c>
      <c r="B40" s="192" t="s">
        <v>917</v>
      </c>
      <c r="C40" s="192"/>
      <c r="D40" s="192" t="s">
        <v>918</v>
      </c>
      <c r="E40" s="192"/>
      <c r="F40" s="192" t="s">
        <v>919</v>
      </c>
      <c r="G40" s="192"/>
      <c r="H40" s="192" t="s">
        <v>920</v>
      </c>
      <c r="I40" s="192"/>
      <c r="J40" s="192" t="s">
        <v>921</v>
      </c>
      <c r="K40" s="192"/>
      <c r="L40" s="192" t="s">
        <v>922</v>
      </c>
      <c r="M40" s="192"/>
      <c r="N40" s="192" t="s">
        <v>923</v>
      </c>
      <c r="O40" s="192"/>
      <c r="P40" s="192" t="s">
        <v>924</v>
      </c>
      <c r="Q40" s="192"/>
      <c r="R40" s="192" t="s">
        <v>925</v>
      </c>
      <c r="S40" s="192"/>
      <c r="T40" s="192" t="s">
        <v>926</v>
      </c>
      <c r="U40" s="192"/>
      <c r="V40" s="192" t="s">
        <v>927</v>
      </c>
      <c r="W40" s="192"/>
      <c r="X40" s="192" t="s">
        <v>928</v>
      </c>
      <c r="Y40" s="192"/>
      <c r="Z40" s="192" t="s">
        <v>929</v>
      </c>
      <c r="AA40" s="192"/>
      <c r="AB40" s="192" t="s">
        <v>930</v>
      </c>
      <c r="AC40" s="192"/>
    </row>
    <row r="41" spans="1:29" s="118" customFormat="1" ht="23.25" customHeight="1" x14ac:dyDescent="0.25">
      <c r="A41" s="133" t="s">
        <v>1681</v>
      </c>
      <c r="B41" s="127" t="str">
        <f ca="1">Data!C2</f>
        <v>2020</v>
      </c>
      <c r="C41" s="128">
        <f ca="1">Data!C2-1</f>
        <v>2019</v>
      </c>
      <c r="D41" s="129" t="str">
        <f ca="1">Data!C2</f>
        <v>2020</v>
      </c>
      <c r="E41" s="128">
        <f ca="1">Data!C2-1</f>
        <v>2019</v>
      </c>
      <c r="F41" s="129" t="str">
        <f ca="1">Data!C2</f>
        <v>2020</v>
      </c>
      <c r="G41" s="128">
        <f ca="1">Data!C2-1</f>
        <v>2019</v>
      </c>
      <c r="H41" s="129" t="str">
        <f ca="1">Data!C2</f>
        <v>2020</v>
      </c>
      <c r="I41" s="128">
        <f ca="1">Data!C2-1</f>
        <v>2019</v>
      </c>
      <c r="J41" s="129" t="str">
        <f ca="1">Data!C2</f>
        <v>2020</v>
      </c>
      <c r="K41" s="128">
        <f ca="1">Data!C2-1</f>
        <v>2019</v>
      </c>
      <c r="L41" s="129" t="str">
        <f ca="1">Data!C2</f>
        <v>2020</v>
      </c>
      <c r="M41" s="128">
        <f ca="1">Data!C2-1</f>
        <v>2019</v>
      </c>
      <c r="N41" s="129" t="str">
        <f ca="1">Data!C2</f>
        <v>2020</v>
      </c>
      <c r="O41" s="128">
        <f ca="1">Data!C2-1</f>
        <v>2019</v>
      </c>
      <c r="P41" s="129" t="str">
        <f ca="1">Data!C2</f>
        <v>2020</v>
      </c>
      <c r="Q41" s="128">
        <f ca="1">Data!C2-1</f>
        <v>2019</v>
      </c>
      <c r="R41" s="129" t="str">
        <f ca="1">Data!C2</f>
        <v>2020</v>
      </c>
      <c r="S41" s="128">
        <f ca="1">Data!C2-1</f>
        <v>2019</v>
      </c>
      <c r="T41" s="129" t="str">
        <f ca="1">Data!C2</f>
        <v>2020</v>
      </c>
      <c r="U41" s="128">
        <f ca="1">Data!C2-1</f>
        <v>2019</v>
      </c>
      <c r="V41" s="129" t="str">
        <f ca="1">Data!C2</f>
        <v>2020</v>
      </c>
      <c r="W41" s="128">
        <f ca="1">Data!C2-1</f>
        <v>2019</v>
      </c>
      <c r="X41" s="129" t="str">
        <f ca="1">Data!C2</f>
        <v>2020</v>
      </c>
      <c r="Y41" s="128">
        <f ca="1">Data!C2-1</f>
        <v>2019</v>
      </c>
      <c r="Z41" s="129" t="str">
        <f ca="1">Data!C2</f>
        <v>2020</v>
      </c>
      <c r="AA41" s="128">
        <f ca="1">Data!C2-1</f>
        <v>2019</v>
      </c>
      <c r="AB41" s="129" t="str">
        <f ca="1">Data!C2</f>
        <v>2020</v>
      </c>
      <c r="AC41" s="130">
        <f ca="1">Data!C2-1</f>
        <v>2019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193" t="s">
        <v>941</v>
      </c>
      <c r="B49" s="193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191"/>
      <c r="C53" s="191"/>
      <c r="D53" s="191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91"/>
      <c r="C54" s="191"/>
      <c r="D54" s="191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91"/>
      <c r="C55" s="191"/>
      <c r="D55" s="191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67" t="s">
        <v>1676</v>
      </c>
      <c r="C56" s="167"/>
      <c r="D56" s="167"/>
      <c r="F56" s="167" t="s">
        <v>1683</v>
      </c>
      <c r="G56" s="167"/>
      <c r="H56" s="167"/>
      <c r="J56" s="167" t="s">
        <v>1582</v>
      </c>
      <c r="K56" s="167"/>
      <c r="L56" s="167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  <mergeCell ref="A39:AC39"/>
    <mergeCell ref="J40:K40"/>
    <mergeCell ref="L40:M40"/>
    <mergeCell ref="A38:AC38"/>
    <mergeCell ref="A37:AC37"/>
    <mergeCell ref="B56:D56"/>
    <mergeCell ref="B40:C40"/>
    <mergeCell ref="D40:E40"/>
    <mergeCell ref="F40:G40"/>
    <mergeCell ref="H40:I40"/>
    <mergeCell ref="F56:H56"/>
    <mergeCell ref="A49:B49"/>
    <mergeCell ref="B53:D55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workbookViewId="0">
      <selection activeCell="D12" sqref="D12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2020 al 28 de Febrero de 2020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14161T12020</v>
      </c>
      <c r="B2" t="str">
        <f ca="1">LEFT(A2,LEN(A2)-6)</f>
        <v>14161</v>
      </c>
      <c r="C2" t="str">
        <f ca="1">RIGHT(A2,4)</f>
        <v>2020</v>
      </c>
      <c r="D2" t="str">
        <f ca="1">LEFT(RIGHT(A2,6),2)</f>
        <v>T1</v>
      </c>
      <c r="F2" s="2" t="s">
        <v>360</v>
      </c>
      <c r="G2" s="2" t="s">
        <v>907</v>
      </c>
      <c r="H2" s="2" t="str">
        <f ca="1">"01 de Marzo de "&amp;C2&amp;" al 30 de Abril de "&amp;C2</f>
        <v>01 de Marzo de 2020 al 30 de Abril de 2020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2020 al 30 de Junio de 2020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2020 al 31 de Agosto de 2020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2020 al 31 de Octubre de 2020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2020 al 31 de Diciembre de 2020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2020 al 31 de Marzo de 2020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2020 al 30 de Junio de 2020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2020 al 30 de Setiembre de 2020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2020 al 31 de Diciembre de 2020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2020 al 30 de Abril de 2020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2020 al 31 de Agosto de 2020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2020 al 31 de Diciembre de 2020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2020 al 30 de Junio de 2020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2020 al 31 de Diciembre de 2020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2020 al 31 de Diciembre de 2020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4" t="s">
        <v>1687</v>
      </c>
      <c r="L318" s="2" t="s">
        <v>1688</v>
      </c>
    </row>
    <row r="319" spans="11:12" x14ac:dyDescent="0.25">
      <c r="K319" s="2"/>
      <c r="L319" s="2"/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2020-04-17T21:31:36Z</dcterms:modified>
</cp:coreProperties>
</file>