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600" windowHeight="9030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definedNames>
    <definedName name="_xlnm.Print_Area" localSheetId="0">BalanceGeneral_Situacion!$A$1:$E$196</definedName>
    <definedName name="_xlnm.Print_Area" localSheetId="3">EstadoFinancieroSegmentos!$A$2:$AC$64</definedName>
    <definedName name="_xlnm.Print_Area" localSheetId="1">EstadoResultados_Rendimiento!$A$1:$E$247</definedName>
    <definedName name="_xlnm.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Q48" i="5" l="1"/>
  <c r="H48" i="5"/>
  <c r="Q23" i="5"/>
  <c r="Q21" i="5"/>
  <c r="Q20" i="5"/>
  <c r="Q19" i="5"/>
  <c r="Q18" i="5"/>
  <c r="Q17" i="5"/>
  <c r="Q16" i="5"/>
  <c r="Q14" i="5"/>
  <c r="Q13" i="5"/>
  <c r="E87" i="1" l="1"/>
  <c r="E221" i="3"/>
  <c r="E214" i="3"/>
  <c r="E207" i="3"/>
  <c r="E206" i="3"/>
  <c r="E205" i="3"/>
  <c r="E159" i="3"/>
  <c r="E157" i="3"/>
  <c r="E155" i="3"/>
  <c r="E153" i="3"/>
  <c r="E150" i="3"/>
  <c r="E149" i="3"/>
  <c r="E148" i="3"/>
  <c r="E147" i="3"/>
  <c r="E146" i="3"/>
  <c r="E145" i="3"/>
  <c r="E144" i="3"/>
  <c r="E143" i="3"/>
  <c r="E138" i="3"/>
  <c r="E137" i="3"/>
  <c r="E136" i="3"/>
  <c r="E135" i="3"/>
  <c r="E134" i="3"/>
  <c r="E128" i="3"/>
  <c r="E125" i="3"/>
  <c r="E100" i="3"/>
  <c r="E92" i="3"/>
  <c r="E75" i="3"/>
  <c r="E167" i="1"/>
  <c r="E159" i="1"/>
  <c r="E154" i="1"/>
  <c r="E153" i="1"/>
  <c r="E119" i="1"/>
  <c r="E114" i="1"/>
  <c r="E113" i="1"/>
  <c r="E95" i="1"/>
  <c r="E94" i="1"/>
  <c r="E70" i="1"/>
  <c r="E63" i="1"/>
  <c r="E36" i="1"/>
  <c r="E34" i="1"/>
  <c r="E33" i="1"/>
  <c r="E27" i="1"/>
  <c r="E25" i="1"/>
  <c r="E23" i="1"/>
  <c r="E11" i="1"/>
  <c r="T84" i="5" l="1"/>
  <c r="T74" i="5"/>
  <c r="T72" i="5"/>
  <c r="T71" i="5"/>
  <c r="T64" i="5"/>
  <c r="T63" i="5"/>
  <c r="T62" i="5"/>
  <c r="T53" i="5"/>
  <c r="T52" i="5"/>
  <c r="T51" i="5"/>
  <c r="T41" i="5"/>
  <c r="T40" i="5"/>
  <c r="T32" i="5"/>
  <c r="T31" i="5"/>
  <c r="T29" i="5"/>
  <c r="T22" i="5"/>
  <c r="S90" i="5"/>
  <c r="T90" i="5" s="1"/>
  <c r="S89" i="5"/>
  <c r="T89" i="5" s="1"/>
  <c r="S88" i="5"/>
  <c r="T88" i="5" s="1"/>
  <c r="S87" i="5"/>
  <c r="T87" i="5" s="1"/>
  <c r="S85" i="5"/>
  <c r="T85" i="5" s="1"/>
  <c r="S84" i="5"/>
  <c r="S83" i="5"/>
  <c r="T83" i="5" s="1"/>
  <c r="S82" i="5"/>
  <c r="T82" i="5" s="1"/>
  <c r="S77" i="5"/>
  <c r="T77" i="5" s="1"/>
  <c r="S76" i="5"/>
  <c r="T76" i="5" s="1"/>
  <c r="S75" i="5"/>
  <c r="T75" i="5" s="1"/>
  <c r="S74" i="5"/>
  <c r="S72" i="5"/>
  <c r="S71" i="5"/>
  <c r="S69" i="5"/>
  <c r="T69" i="5" s="1"/>
  <c r="S68" i="5"/>
  <c r="T68" i="5" s="1"/>
  <c r="S67" i="5"/>
  <c r="T67" i="5" s="1"/>
  <c r="S66" i="5"/>
  <c r="T66" i="5" s="1"/>
  <c r="S65" i="5"/>
  <c r="T65" i="5" s="1"/>
  <c r="S64" i="5"/>
  <c r="S63" i="5"/>
  <c r="S62" i="5"/>
  <c r="S61" i="5"/>
  <c r="T61" i="5" s="1"/>
  <c r="S60" i="5"/>
  <c r="T60" i="5" s="1"/>
  <c r="S59" i="5"/>
  <c r="T59" i="5" s="1"/>
  <c r="S58" i="5"/>
  <c r="T58" i="5" s="1"/>
  <c r="S54" i="5"/>
  <c r="T54" i="5" s="1"/>
  <c r="S53" i="5"/>
  <c r="S52" i="5"/>
  <c r="S51" i="5"/>
  <c r="S49" i="5"/>
  <c r="T49" i="5" s="1"/>
  <c r="S48" i="5"/>
  <c r="T48" i="5" s="1"/>
  <c r="S47" i="5"/>
  <c r="T47" i="5" s="1"/>
  <c r="S46" i="5"/>
  <c r="T46" i="5" s="1"/>
  <c r="S41" i="5"/>
  <c r="S40" i="5"/>
  <c r="S38" i="5"/>
  <c r="T38" i="5" s="1"/>
  <c r="S37" i="5"/>
  <c r="T37" i="5" s="1"/>
  <c r="S36" i="5"/>
  <c r="T36" i="5" s="1"/>
  <c r="S34" i="5"/>
  <c r="T34" i="5" s="1"/>
  <c r="S33" i="5"/>
  <c r="T33" i="5" s="1"/>
  <c r="S32" i="5"/>
  <c r="S31" i="5"/>
  <c r="S29" i="5"/>
  <c r="S28" i="5"/>
  <c r="T28" i="5" s="1"/>
  <c r="S27" i="5"/>
  <c r="T27" i="5" s="1"/>
  <c r="S26" i="5"/>
  <c r="T26" i="5" s="1"/>
  <c r="S25" i="5"/>
  <c r="T25" i="5" s="1"/>
  <c r="S23" i="5"/>
  <c r="T23" i="5" s="1"/>
  <c r="S22" i="5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Q86" i="5"/>
  <c r="P86" i="5"/>
  <c r="N86" i="5"/>
  <c r="M86" i="5"/>
  <c r="L86" i="5"/>
  <c r="K86" i="5"/>
  <c r="K91" i="5" s="1"/>
  <c r="J86" i="5"/>
  <c r="I86" i="5"/>
  <c r="H86" i="5"/>
  <c r="F86" i="5"/>
  <c r="E86" i="5"/>
  <c r="D86" i="5"/>
  <c r="C86" i="5"/>
  <c r="C91" i="5" s="1"/>
  <c r="G85" i="5"/>
  <c r="O85" i="5" s="1"/>
  <c r="U85" i="5" s="1"/>
  <c r="G84" i="5"/>
  <c r="O84" i="5" s="1"/>
  <c r="U84" i="5" s="1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G76" i="5"/>
  <c r="O76" i="5" s="1"/>
  <c r="U76" i="5" s="1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G68" i="5"/>
  <c r="O68" i="5" s="1"/>
  <c r="U68" i="5" s="1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G48" i="5"/>
  <c r="N47" i="5"/>
  <c r="G47" i="5"/>
  <c r="O47" i="5" s="1"/>
  <c r="U47" i="5" s="1"/>
  <c r="N46" i="5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G43" i="5"/>
  <c r="O43" i="5" s="1"/>
  <c r="T42" i="5"/>
  <c r="S42" i="5"/>
  <c r="R42" i="5"/>
  <c r="Q42" i="5"/>
  <c r="P42" i="5"/>
  <c r="N42" i="5"/>
  <c r="M42" i="5"/>
  <c r="L42" i="5"/>
  <c r="K42" i="5"/>
  <c r="J42" i="5"/>
  <c r="I42" i="5"/>
  <c r="H42" i="5"/>
  <c r="F42" i="5"/>
  <c r="E42" i="5"/>
  <c r="D42" i="5"/>
  <c r="C42" i="5"/>
  <c r="N41" i="5"/>
  <c r="O41" i="5" s="1"/>
  <c r="U41" i="5" s="1"/>
  <c r="G41" i="5"/>
  <c r="N40" i="5"/>
  <c r="O40" i="5" s="1"/>
  <c r="U40" i="5" s="1"/>
  <c r="G40" i="5"/>
  <c r="T39" i="5"/>
  <c r="S39" i="5"/>
  <c r="R39" i="5"/>
  <c r="Q39" i="5"/>
  <c r="P39" i="5"/>
  <c r="M39" i="5"/>
  <c r="L39" i="5"/>
  <c r="K39" i="5"/>
  <c r="J39" i="5"/>
  <c r="I39" i="5"/>
  <c r="H39" i="5"/>
  <c r="G39" i="5"/>
  <c r="F39" i="5"/>
  <c r="E39" i="5"/>
  <c r="D39" i="5"/>
  <c r="C39" i="5"/>
  <c r="N38" i="5"/>
  <c r="G38" i="5"/>
  <c r="O38" i="5" s="1"/>
  <c r="U38" i="5" s="1"/>
  <c r="N37" i="5"/>
  <c r="G37" i="5"/>
  <c r="N36" i="5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O34" i="5" s="1"/>
  <c r="U34" i="5" s="1"/>
  <c r="N33" i="5"/>
  <c r="G33" i="5"/>
  <c r="O33" i="5" s="1"/>
  <c r="U33" i="5" s="1"/>
  <c r="N32" i="5"/>
  <c r="N30" i="5" s="1"/>
  <c r="G32" i="5"/>
  <c r="N31" i="5"/>
  <c r="G31" i="5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O29" i="5" s="1"/>
  <c r="U29" i="5" s="1"/>
  <c r="N28" i="5"/>
  <c r="G28" i="5"/>
  <c r="O28" i="5" s="1"/>
  <c r="U28" i="5" s="1"/>
  <c r="N27" i="5"/>
  <c r="N26" i="5"/>
  <c r="G26" i="5"/>
  <c r="N25" i="5"/>
  <c r="N24" i="5" s="1"/>
  <c r="G25" i="5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N22" i="5"/>
  <c r="G22" i="5"/>
  <c r="O22" i="5" s="1"/>
  <c r="U22" i="5" s="1"/>
  <c r="N21" i="5"/>
  <c r="G21" i="5"/>
  <c r="N20" i="5"/>
  <c r="G20" i="5"/>
  <c r="N19" i="5"/>
  <c r="G19" i="5"/>
  <c r="N18" i="5"/>
  <c r="G18" i="5"/>
  <c r="O18" i="5" s="1"/>
  <c r="U18" i="5" s="1"/>
  <c r="N17" i="5"/>
  <c r="G17" i="5"/>
  <c r="N16" i="5"/>
  <c r="G16" i="5"/>
  <c r="N15" i="5"/>
  <c r="G15" i="5"/>
  <c r="N14" i="5"/>
  <c r="G14" i="5"/>
  <c r="O14" i="5" s="1"/>
  <c r="U14" i="5" s="1"/>
  <c r="N13" i="5"/>
  <c r="G13" i="5"/>
  <c r="N12" i="5"/>
  <c r="G12" i="5"/>
  <c r="T11" i="5"/>
  <c r="S11" i="5"/>
  <c r="R11" i="5"/>
  <c r="Q11" i="5"/>
  <c r="Q55" i="5" s="1"/>
  <c r="P11" i="5"/>
  <c r="M11" i="5"/>
  <c r="L11" i="5"/>
  <c r="K11" i="5"/>
  <c r="K55" i="5" s="1"/>
  <c r="J11" i="5"/>
  <c r="I11" i="5"/>
  <c r="H11" i="5"/>
  <c r="H55" i="5" s="1"/>
  <c r="F11" i="5"/>
  <c r="E11" i="5"/>
  <c r="D11" i="5"/>
  <c r="C11" i="5"/>
  <c r="C55" i="5" s="1"/>
  <c r="N45" i="5" l="1"/>
  <c r="O48" i="5"/>
  <c r="U48" i="5" s="1"/>
  <c r="N11" i="5"/>
  <c r="O13" i="5"/>
  <c r="U13" i="5" s="1"/>
  <c r="O17" i="5"/>
  <c r="U17" i="5" s="1"/>
  <c r="C93" i="5"/>
  <c r="J55" i="5"/>
  <c r="O15" i="5"/>
  <c r="U15" i="5" s="1"/>
  <c r="O19" i="5"/>
  <c r="U19" i="5" s="1"/>
  <c r="O23" i="5"/>
  <c r="U23" i="5" s="1"/>
  <c r="O52" i="5"/>
  <c r="U52" i="5" s="1"/>
  <c r="D91" i="5"/>
  <c r="E91" i="5"/>
  <c r="E93" i="5" s="1"/>
  <c r="N91" i="5"/>
  <c r="I55" i="5"/>
  <c r="F91" i="5"/>
  <c r="M91" i="5"/>
  <c r="L55" i="5"/>
  <c r="O12" i="5"/>
  <c r="U12" i="5" s="1"/>
  <c r="O16" i="5"/>
  <c r="U16" i="5" s="1"/>
  <c r="O20" i="5"/>
  <c r="U20" i="5" s="1"/>
  <c r="G24" i="5"/>
  <c r="P91" i="5"/>
  <c r="Q91" i="5"/>
  <c r="L91" i="5"/>
  <c r="D55" i="5"/>
  <c r="G30" i="5"/>
  <c r="H91" i="5"/>
  <c r="H93" i="5" s="1"/>
  <c r="I91" i="5"/>
  <c r="R91" i="5"/>
  <c r="M55" i="5"/>
  <c r="O21" i="5"/>
  <c r="U21" i="5" s="1"/>
  <c r="O26" i="5"/>
  <c r="U26" i="5" s="1"/>
  <c r="N35" i="5"/>
  <c r="N39" i="5"/>
  <c r="G42" i="5"/>
  <c r="O54" i="5"/>
  <c r="U54" i="5" s="1"/>
  <c r="J91" i="5"/>
  <c r="J93" i="5" s="1"/>
  <c r="R55" i="5"/>
  <c r="E55" i="5"/>
  <c r="F55" i="5"/>
  <c r="F93" i="5" s="1"/>
  <c r="P55" i="5"/>
  <c r="P93" i="5" s="1"/>
  <c r="O32" i="5"/>
  <c r="U32" i="5" s="1"/>
  <c r="O37" i="5"/>
  <c r="U37" i="5" s="1"/>
  <c r="G45" i="5"/>
  <c r="T91" i="5"/>
  <c r="T55" i="5"/>
  <c r="S91" i="5"/>
  <c r="S55" i="5"/>
  <c r="O70" i="5"/>
  <c r="U71" i="5"/>
  <c r="U70" i="5" s="1"/>
  <c r="D93" i="5"/>
  <c r="U43" i="5"/>
  <c r="U42" i="5" s="1"/>
  <c r="O42" i="5"/>
  <c r="U51" i="5"/>
  <c r="Q93" i="5"/>
  <c r="O86" i="5"/>
  <c r="O91" i="5" s="1"/>
  <c r="U87" i="5"/>
  <c r="U86" i="5" s="1"/>
  <c r="U82" i="5"/>
  <c r="U81" i="5" s="1"/>
  <c r="O81" i="5"/>
  <c r="I93" i="5"/>
  <c r="M93" i="5"/>
  <c r="O78" i="5"/>
  <c r="U79" i="5"/>
  <c r="U78" i="5" s="1"/>
  <c r="K93" i="5"/>
  <c r="O35" i="5"/>
  <c r="U36" i="5"/>
  <c r="U35" i="5" s="1"/>
  <c r="U74" i="5"/>
  <c r="U73" i="5" s="1"/>
  <c r="O73" i="5"/>
  <c r="U39" i="5"/>
  <c r="U58" i="5"/>
  <c r="U57" i="5" s="1"/>
  <c r="O57" i="5"/>
  <c r="O25" i="5"/>
  <c r="O31" i="5"/>
  <c r="O46" i="5"/>
  <c r="G57" i="5"/>
  <c r="G73" i="5"/>
  <c r="G81" i="5"/>
  <c r="G11" i="5"/>
  <c r="O39" i="5"/>
  <c r="N50" i="5"/>
  <c r="N55" i="5" s="1"/>
  <c r="N93" i="5" s="1"/>
  <c r="G70" i="5"/>
  <c r="G78" i="5"/>
  <c r="G86" i="5"/>
  <c r="A2" i="2"/>
  <c r="C2" i="2" s="1"/>
  <c r="E223" i="3"/>
  <c r="D223" i="3"/>
  <c r="E220" i="3"/>
  <c r="D220" i="3"/>
  <c r="E213" i="3"/>
  <c r="D213" i="3"/>
  <c r="E208" i="3"/>
  <c r="D208" i="3"/>
  <c r="E204" i="3"/>
  <c r="D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D152" i="3"/>
  <c r="E142" i="3"/>
  <c r="D142" i="3"/>
  <c r="E133" i="3"/>
  <c r="D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D93" i="1"/>
  <c r="E84" i="1"/>
  <c r="D84" i="1"/>
  <c r="E79" i="1"/>
  <c r="D79" i="1"/>
  <c r="E72" i="1"/>
  <c r="D72" i="1"/>
  <c r="E62" i="1"/>
  <c r="D62" i="1"/>
  <c r="E54" i="1"/>
  <c r="D54" i="1"/>
  <c r="E48" i="1"/>
  <c r="D48" i="1"/>
  <c r="E41" i="1"/>
  <c r="D41" i="1"/>
  <c r="E35" i="1"/>
  <c r="D35" i="1"/>
  <c r="E19" i="1"/>
  <c r="D19" i="1"/>
  <c r="E13" i="1"/>
  <c r="D13" i="1"/>
  <c r="E10" i="1"/>
  <c r="D10" i="1"/>
  <c r="T93" i="5" l="1"/>
  <c r="R93" i="5"/>
  <c r="U11" i="5"/>
  <c r="G91" i="5"/>
  <c r="U50" i="5"/>
  <c r="O50" i="5"/>
  <c r="O11" i="5"/>
  <c r="L93" i="5"/>
  <c r="G55" i="5"/>
  <c r="H9" i="2"/>
  <c r="H10" i="2"/>
  <c r="C7" i="6"/>
  <c r="H8" i="2"/>
  <c r="U91" i="5"/>
  <c r="S93" i="5"/>
  <c r="E129" i="3"/>
  <c r="E227" i="3"/>
  <c r="D129" i="3"/>
  <c r="D227" i="3"/>
  <c r="D122" i="1"/>
  <c r="E88" i="1"/>
  <c r="E122" i="1"/>
  <c r="D45" i="1"/>
  <c r="D147" i="1"/>
  <c r="D88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D148" i="1" l="1"/>
  <c r="A3" i="3"/>
  <c r="A4" i="5" s="1"/>
  <c r="O55" i="5"/>
  <c r="O93" i="5" s="1"/>
  <c r="G93" i="5"/>
  <c r="U55" i="5"/>
  <c r="U93" i="5" s="1"/>
  <c r="E228" i="3"/>
  <c r="D228" i="3"/>
  <c r="D168" i="1" s="1"/>
  <c r="E89" i="1"/>
  <c r="D89" i="1"/>
  <c r="E148" i="1"/>
  <c r="A3" i="1"/>
  <c r="A4" i="6"/>
  <c r="T1" i="2"/>
  <c r="P1" i="2"/>
  <c r="S1" i="2"/>
  <c r="O1" i="2"/>
  <c r="R1" i="2"/>
  <c r="Q1" i="2"/>
  <c r="D166" i="1" l="1"/>
  <c r="D178" i="1" s="1"/>
  <c r="D179" i="1" s="1"/>
  <c r="D180" i="1" s="1"/>
  <c r="E168" i="1"/>
  <c r="E166" i="1" s="1"/>
  <c r="E178" i="1" s="1"/>
  <c r="E179" i="1" s="1"/>
  <c r="E180" i="1" s="1"/>
  <c r="N1" i="2"/>
  <c r="D229" i="3" l="1"/>
  <c r="E229" i="3"/>
  <c r="A1" i="1"/>
  <c r="A2" i="5"/>
  <c r="A2" i="6"/>
  <c r="A1" i="3"/>
  <c r="A34" i="6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<sst xmlns="http://schemas.openxmlformats.org/spreadsheetml/2006/main" count="2130" uniqueCount="1693">
  <si>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</si>
  <si>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</si>
  <si>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</si>
  <si>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</si>
  <si>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</si>
  <si>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</si>
  <si>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</si>
  <si>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</si>
  <si>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</si>
  <si>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</si>
  <si>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</si>
  <si>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</si>
  <si>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</si>
  <si>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</si>
  <si>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</si>
  <si>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</si>
  <si>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</si>
  <si>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</si>
  <si>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</si>
  <si>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</si>
  <si>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</si>
  <si>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</si>
  <si>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</si>
  <si>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</si>
  <si>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</si>
  <si>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</si>
  <si>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</si>
  <si>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</si>
  <si>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</si>
  <si>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</si>
  <si>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</si>
  <si>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</si>
  <si>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</si>
  <si>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</si>
  <si>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</si>
  <si>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</si>
  <si>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</si>
  <si>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</si>
  <si>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</si>
  <si>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</si>
  <si>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</si>
  <si>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</si>
  <si>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</si>
  <si>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</si>
  <si>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</si>
  <si>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</si>
  <si>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</si>
  <si>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</si>
  <si>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</si>
  <si>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</si>
  <si>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</si>
  <si>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</si>
  <si>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</si>
  <si>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</si>
  <si>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</si>
  <si>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</si>
  <si>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</si>
  <si>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</si>
  <si>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</si>
  <si>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</si>
  <si>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</si>
  <si>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</si>
  <si>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</si>
  <si>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</si>
  <si>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</si>
  <si>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</si>
  <si>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</si>
  <si>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</si>
  <si>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</si>
  <si>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</si>
  <si>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</si>
  <si>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</si>
  <si>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</si>
  <si>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</si>
  <si>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</si>
  <si>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</si>
  <si>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</si>
  <si>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</si>
  <si>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</si>
  <si>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</si>
  <si>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</si>
  <si>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</si>
  <si>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</si>
  <si>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</si>
  <si>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</si>
  <si>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</si>
  <si>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</si>
  <si>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</si>
  <si>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</si>
  <si>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</si>
  <si>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</si>
  <si>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</si>
  <si>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</si>
  <si>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</si>
  <si>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</si>
  <si>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</si>
  <si>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</si>
  <si>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</si>
  <si>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</si>
  <si>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</si>
  <si>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</si>
  <si>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</si>
  <si>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</si>
  <si>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</si>
  <si>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</si>
  <si>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</si>
  <si>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</si>
  <si>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</si>
  <si>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</si>
  <si>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</si>
  <si>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</si>
  <si>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</si>
  <si>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</si>
  <si>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</si>
  <si>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</si>
  <si>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</si>
  <si>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</si>
  <si>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</si>
  <si>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</si>
  <si>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</si>
  <si>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</si>
  <si>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</si>
  <si>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</si>
  <si>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</si>
  <si>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</si>
  <si>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</si>
  <si>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</si>
  <si>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</si>
  <si>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</si>
  <si>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</si>
  <si>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</si>
  <si>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</si>
  <si>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</si>
  <si>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</si>
  <si>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</si>
  <si>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</si>
  <si>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</si>
  <si>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</si>
  <si>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</si>
  <si>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</si>
  <si>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</si>
  <si>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</si>
  <si>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</si>
  <si>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</si>
  <si>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</si>
  <si>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</si>
  <si>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</si>
  <si>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</si>
  <si>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</si>
  <si>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</si>
  <si>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</si>
  <si>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</si>
  <si>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</si>
  <si>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</si>
  <si>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</si>
  <si>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</si>
  <si>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</si>
  <si>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</si>
  <si>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</si>
  <si>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</si>
  <si>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</si>
  <si>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</si>
  <si>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</si>
  <si>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</si>
  <si>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</si>
  <si>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</si>
  <si>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</si>
  <si>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</si>
  <si>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</si>
  <si>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</si>
  <si>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</si>
  <si>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</si>
  <si>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</si>
  <si>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</si>
  <si>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</si>
  <si>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</si>
  <si>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</si>
  <si>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</si>
  <si>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</si>
  <si>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</si>
  <si>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</si>
  <si>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</si>
  <si>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</si>
  <si>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</si>
  <si>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</si>
  <si>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</si>
  <si>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</si>
  <si>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</si>
  <si>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</si>
  <si>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</si>
  <si>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</si>
  <si>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</si>
  <si>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</si>
  <si>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</si>
  <si>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</si>
  <si>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</si>
  <si>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</si>
  <si>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</si>
  <si>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</si>
  <si>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</si>
  <si>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</si>
  <si>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</si>
  <si>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</si>
  <si>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</si>
  <si>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</si>
  <si>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</si>
  <si>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</si>
  <si>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</si>
  <si>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</si>
  <si>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</si>
  <si>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</si>
  <si>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</si>
  <si>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</si>
  <si>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</si>
  <si>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</si>
  <si>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</si>
  <si>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</si>
  <si>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</si>
  <si>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</si>
  <si>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</si>
  <si>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</si>
  <si>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</si>
  <si>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</si>
  <si>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</si>
  <si>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</si>
  <si>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</si>
  <si>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</si>
  <si>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</si>
  <si>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</si>
  <si>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</si>
  <si>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</si>
  <si>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</si>
  <si>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</si>
  <si>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</si>
  <si>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</si>
  <si>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</si>
  <si>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</si>
  <si>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</si>
  <si>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</si>
  <si>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</si>
  <si>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</si>
  <si>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</si>
  <si>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</si>
  <si>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</si>
  <si>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</si>
  <si>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</si>
  <si>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</si>
  <si>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</si>
  <si>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</si>
  <si>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</si>
  <si>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</si>
  <si>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</si>
  <si>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</si>
  <si>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</si>
  <si>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</si>
  <si>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</si>
  <si>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</si>
  <si>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</si>
  <si>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</si>
  <si>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</si>
  <si>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</si>
  <si>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</si>
  <si>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</si>
  <si>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</si>
  <si>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</si>
  <si>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</si>
  <si>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</si>
  <si>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</si>
  <si>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</si>
  <si>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</si>
  <si>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</si>
  <si>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</si>
  <si>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</si>
  <si>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</si>
  <si>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</si>
  <si>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</si>
  <si>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</si>
  <si>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</si>
  <si>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</si>
  <si>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</si>
  <si>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</si>
  <si>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</si>
  <si>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</si>
  <si>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</si>
  <si>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</si>
  <si>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</si>
  <si>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</si>
  <si>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</si>
  <si>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</si>
  <si>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</si>
  <si>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</si>
  <si>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</si>
  <si>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</si>
  <si>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</si>
  <si>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</si>
  <si>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</si>
  <si>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</si>
  <si>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</si>
  <si>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</si>
  <si>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</si>
  <si>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</si>
  <si>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</si>
  <si>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</si>
  <si>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</si>
  <si>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</si>
  <si>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</si>
  <si>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</si>
  <si>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</si>
  <si>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</si>
  <si>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</si>
  <si>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</si>
  <si>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</si>
  <si>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</si>
  <si>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</si>
  <si>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</si>
  <si>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</si>
  <si>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</si>
  <si>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</si>
  <si>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</si>
  <si>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</si>
  <si>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</si>
  <si>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</si>
  <si>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</si>
  <si>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</si>
  <si>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</si>
  <si>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</si>
  <si>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</si>
  <si>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</si>
  <si>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</si>
  <si>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</si>
  <si>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</si>
  <si>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</si>
  <si>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</si>
  <si>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</si>
  <si>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</si>
  <si>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</si>
  <si>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</si>
  <si>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</si>
  <si>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</si>
  <si>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</si>
  <si>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</si>
  <si>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</si>
  <si>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</si>
  <si>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</si>
  <si>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</si>
  <si>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</si>
  <si>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</si>
  <si>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</si>
  <si>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</si>
  <si>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</si>
  <si>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</si>
  <si>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</si>
  <si>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</si>
  <si>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</si>
  <si>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</si>
  <si>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</si>
  <si>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</si>
  <si>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</si>
  <si>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</si>
  <si>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</si>
  <si>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</si>
  <si>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</si>
  <si>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</si>
  <si>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</si>
  <si>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</si>
  <si>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</si>
  <si>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</si>
  <si>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</si>
  <si>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</si>
  <si>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</si>
  <si>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</si>
  <si>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</si>
  <si>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</si>
  <si>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</si>
  <si>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</si>
  <si>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</si>
  <si>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</si>
  <si>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</si>
  <si>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</si>
  <si>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</si>
  <si>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</si>
  <si>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</si>
  <si>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</si>
  <si>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</si>
  <si>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</si>
  <si>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</si>
  <si>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</si>
  <si>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</si>
  <si>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</si>
  <si>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</si>
  <si>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</si>
  <si>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</si>
  <si>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</si>
  <si>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</si>
  <si>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</si>
  <si>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</si>
  <si>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</si>
  <si>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</si>
  <si>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</si>
  <si>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</si>
  <si>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</si>
  <si>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</si>
  <si>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</si>
  <si>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</si>
  <si>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</si>
  <si>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</si>
  <si>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</si>
  <si>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</si>
  <si>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</si>
  <si>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</si>
  <si>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</si>
  <si>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</si>
  <si>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</si>
  <si>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</si>
  <si>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</si>
  <si>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</si>
  <si>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</si>
  <si>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</si>
  <si>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</si>
  <si>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</si>
  <si>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</si>
  <si>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</si>
  <si>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</si>
  <si>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</si>
  <si>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</si>
  <si>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</si>
  <si>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</si>
  <si>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</si>
  <si>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</si>
  <si>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</si>
  <si>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</si>
  <si>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</si>
  <si>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</si>
  <si>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</si>
  <si>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</si>
  <si>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</si>
  <si>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</si>
  <si>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</si>
  <si>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</si>
  <si>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</si>
  <si>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</si>
  <si>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</si>
  <si>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</si>
  <si>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</si>
  <si>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</si>
  <si>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</si>
  <si>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</si>
  <si>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</si>
  <si>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</si>
  <si>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</si>
  <si>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</si>
  <si>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</si>
  <si>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</si>
  <si>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</si>
  <si>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</si>
  <si>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</si>
  <si>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</si>
  <si>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</si>
  <si>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</si>
  <si>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</si>
  <si>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</si>
  <si>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</si>
  <si>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</si>
  <si>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</si>
  <si>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</si>
  <si>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</si>
  <si>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</si>
  <si>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</si>
  <si>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</si>
  <si>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</si>
  <si>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</si>
  <si>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</si>
  <si>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</si>
  <si>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</si>
  <si>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</si>
  <si>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</si>
  <si>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</si>
  <si>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</si>
  <si>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</si>
  <si>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</si>
  <si>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</si>
  <si>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</si>
  <si>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</si>
  <si>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</si>
  <si>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</si>
  <si>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</si>
  <si>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</si>
  <si>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</si>
  <si>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</si>
  <si>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</si>
  <si>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</si>
  <si>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</si>
  <si>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</si>
  <si>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</si>
  <si>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</si>
  <si>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</si>
  <si>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</si>
  <si>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</si>
  <si>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</si>
  <si>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</si>
  <si>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</si>
  <si>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</si>
  <si>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</si>
  <si>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</si>
  <si>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</si>
  <si>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</si>
  <si>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</si>
  <si>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</si>
  <si>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</si>
  <si>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</si>
  <si>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</si>
  <si>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</si>
  <si>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</si>
  <si>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</si>
  <si>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</si>
  <si>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</si>
  <si>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</si>
  <si>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</si>
  <si>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</si>
  <si>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</si>
  <si>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</si>
  <si>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</si>
  <si>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</si>
  <si>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</si>
  <si>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</si>
  <si>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</si>
  <si>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</si>
  <si>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</si>
  <si>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</si>
  <si>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</si>
  <si>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</si>
  <si>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</si>
  <si>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</si>
  <si>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</si>
  <si>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</si>
  <si>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</si>
  <si>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</si>
  <si>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</si>
  <si>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</si>
  <si>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</si>
  <si>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</si>
  <si>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</si>
  <si>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</si>
  <si>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</si>
  <si>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</si>
  <si>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</si>
  <si>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</si>
  <si>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</si>
  <si>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</si>
  <si>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</si>
  <si>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</si>
  <si>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</si>
  <si>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</si>
  <si>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</si>
  <si>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</si>
  <si>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</si>
  <si>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</si>
  <si>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</si>
  <si>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</si>
  <si>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</si>
  <si>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</si>
  <si>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</si>
  <si>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</si>
  <si>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</si>
  <si>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</si>
  <si>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</si>
  <si>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</si>
  <si>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</si>
  <si>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</si>
  <si>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</si>
  <si>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</si>
  <si>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</si>
  <si>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</si>
  <si>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</si>
  <si>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</si>
  <si>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</si>
  <si>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</si>
  <si>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</si>
  <si>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</si>
  <si>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</si>
  <si>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</si>
  <si>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</si>
  <si>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</si>
  <si>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</si>
  <si>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</si>
  <si>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</si>
  <si>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</si>
  <si>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</si>
  <si>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</si>
  <si>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</si>
  <si>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</si>
  <si>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</si>
  <si>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</si>
  <si>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</si>
  <si>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</si>
  <si>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</si>
  <si>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</si>
  <si>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</si>
  <si>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</si>
  <si>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</si>
  <si>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</si>
  <si>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</si>
  <si>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</si>
  <si>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</si>
  <si>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</si>
  <si>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</si>
  <si>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</si>
  <si>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</si>
  <si>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</si>
  <si>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</si>
  <si>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</si>
  <si>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</si>
  <si>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</si>
  <si>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</si>
  <si>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</si>
  <si>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</si>
  <si>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</si>
  <si>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</si>
  <si>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</si>
  <si>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</si>
  <si>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</si>
  <si>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</si>
  <si>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</si>
  <si>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</si>
  <si>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</si>
  <si>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</si>
  <si>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</si>
  <si>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</si>
  <si>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</si>
  <si>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</si>
  <si>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</si>
  <si>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</si>
  <si>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</si>
  <si>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</si>
  <si>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</si>
  <si>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</si>
  <si>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</si>
  <si>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</si>
  <si>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</si>
  <si>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</si>
  <si>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</si>
  <si>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</si>
  <si>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</si>
  <si>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</si>
  <si>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</si>
  <si>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</si>
  <si>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</si>
  <si>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</si>
  <si>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</si>
  <si>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</si>
  <si>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</si>
  <si>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</si>
  <si>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</si>
  <si>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</si>
  <si>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</si>
  <si>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</si>
  <si>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</si>
  <si>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</si>
  <si>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</si>
  <si>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</si>
  <si>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</si>
  <si>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</si>
  <si>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</si>
  <si>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</si>
  <si>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</si>
  <si>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</si>
  <si>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</si>
  <si>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</si>
  <si>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</si>
  <si>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</si>
  <si>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</si>
  <si>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</si>
  <si>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</si>
  <si>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</si>
  <si>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</si>
  <si>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</si>
  <si>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</si>
  <si>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</si>
  <si>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</si>
  <si>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</si>
  <si>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</si>
  <si>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</si>
  <si>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</si>
  <si>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</si>
  <si>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</si>
  <si>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</si>
  <si>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</si>
  <si>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</si>
  <si>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</si>
  <si>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</si>
  <si>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</si>
  <si>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</si>
  <si>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</si>
  <si>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</si>
  <si>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</si>
  <si>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</si>
  <si>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</si>
  <si>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</si>
  <si>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</si>
  <si>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</si>
  <si>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</si>
  <si>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</si>
  <si>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</si>
  <si>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</si>
  <si>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</si>
  <si>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</si>
  <si>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</si>
  <si>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</si>
  <si>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</si>
  <si>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</si>
  <si>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</si>
  <si>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</si>
  <si>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</si>
  <si>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</si>
  <si>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</si>
  <si>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</si>
  <si>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</si>
  <si>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</si>
  <si>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</si>
  <si>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</si>
  <si>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</si>
  <si>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</si>
  <si>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</si>
  <si>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</si>
  <si>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</si>
  <si>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</si>
  <si>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</si>
  <si>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</si>
  <si>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</si>
  <si>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</si>
  <si>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</si>
  <si>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</si>
  <si>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</si>
  <si>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</si>
  <si>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</si>
  <si>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</si>
  <si>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</si>
  <si>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</si>
  <si>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</si>
  <si>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</si>
  <si>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</si>
  <si>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</si>
  <si>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</si>
  <si>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</si>
  <si>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</si>
  <si>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</si>
  <si>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</si>
  <si>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</si>
  <si>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</si>
  <si>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</si>
  <si>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</si>
  <si>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</si>
  <si>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</si>
  <si>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</si>
  <si>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</si>
  <si>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</si>
  <si>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</si>
  <si>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</si>
  <si>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</si>
  <si>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</si>
  <si>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</si>
  <si>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</si>
  <si>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</si>
  <si>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</si>
  <si>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</si>
  <si>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</si>
  <si>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</si>
  <si>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</si>
  <si>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</si>
  <si>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</si>
  <si>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</si>
  <si>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</si>
  <si>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</si>
  <si>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</si>
  <si>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</si>
  <si>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</si>
  <si>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</si>
  <si>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</si>
  <si>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</si>
  <si>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</si>
  <si>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</si>
  <si>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</si>
  <si>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</si>
  <si>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</si>
  <si>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</si>
  <si>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</si>
  <si>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</si>
  <si>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</si>
  <si>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</si>
  <si>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</si>
  <si>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</si>
  <si>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</si>
  <si>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</si>
  <si>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</si>
  <si>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</si>
  <si>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</si>
  <si>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</si>
  <si>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</si>
  <si>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</si>
  <si>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</si>
  <si>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</si>
  <si>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</si>
  <si>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</si>
  <si>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</si>
  <si>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</si>
  <si>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</si>
  <si>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</si>
  <si>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</si>
  <si>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</si>
  <si>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</si>
  <si>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</si>
  <si>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</si>
  <si>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</si>
  <si>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</si>
  <si>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</si>
  <si>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</si>
  <si>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</si>
  <si>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</si>
  <si>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</si>
  <si>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</si>
  <si>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</si>
  <si>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</si>
  <si>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</si>
  <si>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</si>
  <si>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</si>
  <si>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</si>
  <si>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</si>
  <si>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</si>
  <si>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</si>
  <si>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</si>
  <si>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</si>
  <si>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</si>
  <si>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</si>
  <si>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</si>
  <si>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</si>
  <si>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</si>
  <si>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</si>
  <si>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</si>
  <si>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</si>
  <si>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</si>
  <si>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</si>
  <si>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</si>
  <si>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</si>
  <si>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</si>
  <si>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</si>
  <si>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</si>
  <si>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</si>
  <si>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</si>
  <si>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</si>
  <si>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</si>
  <si>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</si>
  <si>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</si>
  <si>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</si>
  <si>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</si>
  <si>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</si>
  <si>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</si>
  <si>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</si>
  <si>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</si>
  <si>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</si>
  <si>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</si>
  <si>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</si>
  <si>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</si>
  <si>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</si>
  <si>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</si>
  <si>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</si>
  <si>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</si>
  <si>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</si>
  <si>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</si>
  <si>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</si>
  <si>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</si>
  <si>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</si>
  <si>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</si>
  <si>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</si>
  <si>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</si>
  <si>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</si>
  <si>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</si>
  <si>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</si>
  <si>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</si>
  <si>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</si>
  <si>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</si>
  <si>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</si>
  <si>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</si>
  <si>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</si>
  <si>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</si>
  <si>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</si>
  <si>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</si>
  <si>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</si>
  <si>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</si>
  <si>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</si>
  <si>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</si>
  <si>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</si>
  <si>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</si>
  <si>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</si>
  <si>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</si>
  <si>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</si>
  <si>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</si>
  <si>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</si>
  <si>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</si>
  <si>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</si>
  <si>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</si>
  <si>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</si>
  <si>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</si>
  <si>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</si>
  <si>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</si>
  <si>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</si>
  <si>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</si>
  <si>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</si>
  <si>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</si>
  <si>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</si>
  <si>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</si>
  <si>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</si>
  <si>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</si>
  <si>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</si>
  <si>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</si>
  <si>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</si>
  <si>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</si>
  <si>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</si>
  <si>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</si>
  <si>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</si>
  <si>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</si>
  <si>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</si>
  <si>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</si>
  <si>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</si>
  <si>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</si>
  <si>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</si>
  <si>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</si>
  <si>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</si>
  <si>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</si>
  <si>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</si>
  <si>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</si>
  <si>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</si>
  <si>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</si>
  <si>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</si>
  <si>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</si>
  <si>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</si>
  <si>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</si>
  <si>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</si>
  <si>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</si>
  <si>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</si>
  <si>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</si>
  <si>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</si>
  <si>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</si>
  <si>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</si>
  <si>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</si>
  <si>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</si>
  <si>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</si>
  <si>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</si>
  <si>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</si>
  <si>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</si>
  <si>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</si>
  <si>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</si>
  <si>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</si>
  <si>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</si>
  <si>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</si>
  <si>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</si>
  <si>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</si>
  <si>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</si>
  <si>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</si>
  <si>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</si>
  <si>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</si>
  <si>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</si>
  <si>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</si>
  <si>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</si>
  <si>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</si>
  <si>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</si>
  <si>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</si>
  <si>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</si>
  <si>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</si>
  <si>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</si>
  <si>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</si>
  <si>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</si>
  <si>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</si>
  <si>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</si>
  <si>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</si>
  <si>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</si>
  <si>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</si>
  <si>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</si>
  <si>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</si>
  <si>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</si>
  <si>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</si>
  <si>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</si>
  <si>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</si>
  <si>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</si>
  <si>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</si>
  <si>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</si>
  <si>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</si>
  <si>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</si>
  <si>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</si>
  <si>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</si>
  <si>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</si>
  <si>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</si>
  <si>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</si>
  <si>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</si>
  <si>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</si>
  <si>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</si>
  <si>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</si>
  <si>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</si>
  <si>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</si>
  <si>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</si>
  <si>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</si>
  <si>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</si>
  <si>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</si>
  <si>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</si>
  <si>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</si>
  <si>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</si>
  <si>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</si>
  <si>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</si>
  <si>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</si>
  <si>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</si>
  <si>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</si>
  <si>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</si>
  <si>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</si>
  <si>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</si>
  <si>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</si>
  <si>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</si>
  <si>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</si>
  <si>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</si>
  <si>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</si>
  <si>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</si>
  <si>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</si>
  <si>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</si>
  <si>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</si>
  <si>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</si>
  <si>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</si>
  <si>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</si>
  <si>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</si>
  <si>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</si>
  <si>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</si>
  <si>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</si>
  <si>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</si>
  <si>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</si>
  <si>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</si>
  <si>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</si>
  <si>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</si>
  <si>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</si>
  <si>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</si>
  <si>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</si>
  <si>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</si>
  <si>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</si>
  <si>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</si>
  <si>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</si>
  <si>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</si>
  <si>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</si>
  <si>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</si>
  <si>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</si>
  <si>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</si>
  <si>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</si>
  <si>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</si>
  <si>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</si>
  <si>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</si>
  <si>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</si>
  <si>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</si>
  <si>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</si>
  <si>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</si>
  <si>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</si>
  <si>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</si>
  <si>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</si>
  <si>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</si>
  <si>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</si>
  <si>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</si>
  <si>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</si>
  <si>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</si>
  <si>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</si>
  <si>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</si>
  <si>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</si>
  <si>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</si>
  <si>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</si>
  <si>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</si>
  <si>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</si>
  <si>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</si>
  <si>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</si>
  <si>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</si>
  <si>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</si>
  <si>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</si>
  <si>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</si>
  <si>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</si>
  <si>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</si>
  <si>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</si>
  <si>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</si>
  <si>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</si>
  <si>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</si>
  <si>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</si>
  <si>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</si>
  <si>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</si>
  <si>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</si>
  <si>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</si>
  <si>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</si>
  <si>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</si>
  <si>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</si>
  <si>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</si>
  <si>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</si>
  <si>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</si>
  <si>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</si>
  <si>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</si>
  <si>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</si>
  <si>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</si>
  <si>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</si>
  <si>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</si>
  <si>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</si>
  <si>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</si>
  <si>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</si>
  <si>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</si>
  <si>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</si>
  <si>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</si>
  <si>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</si>
  <si>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</si>
  <si>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</si>
  <si>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</si>
  <si>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</si>
  <si>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</si>
  <si>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</si>
  <si>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</si>
  <si>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</si>
  <si>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</si>
  <si>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</si>
  <si>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</si>
  <si>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</si>
  <si>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</si>
  <si>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</si>
  <si>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</si>
  <si>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</si>
  <si>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</si>
  <si>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</si>
  <si>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</si>
  <si>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</si>
  <si>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</si>
  <si>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</si>
  <si>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</si>
  <si>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</si>
  <si>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</si>
  <si>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</si>
  <si>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</si>
  <si>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</si>
  <si>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</si>
  <si>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</si>
  <si>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</si>
  <si>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</si>
  <si>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</si>
  <si>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</si>
  <si>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</si>
  <si>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</si>
  <si>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</si>
  <si>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</si>
  <si>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</si>
  <si>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</si>
  <si>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</si>
  <si>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</si>
  <si>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</si>
  <si>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</si>
  <si>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</si>
  <si>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</si>
  <si>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</si>
  <si>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</si>
  <si>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</si>
  <si>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</si>
  <si>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</si>
  <si>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</si>
  <si>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</si>
  <si>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</si>
  <si>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</si>
  <si>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</si>
  <si>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</si>
  <si>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</si>
  <si>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</si>
  <si>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</si>
  <si>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</si>
  <si>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</si>
  <si>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</si>
  <si>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</si>
  <si>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</si>
  <si>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</si>
  <si>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</si>
  <si>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</si>
  <si>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</si>
  <si>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</si>
  <si>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</si>
  <si>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</si>
  <si>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</si>
  <si>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</si>
  <si>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</si>
  <si>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</si>
  <si>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</si>
  <si>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</si>
  <si>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</si>
  <si>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</si>
  <si>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</si>
  <si>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</si>
  <si>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</si>
  <si>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</si>
  <si>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</si>
  <si>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</si>
  <si>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</si>
  <si>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</si>
  <si>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</si>
  <si>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</si>
  <si>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</si>
  <si>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</si>
  <si>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</si>
  <si>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</si>
  <si>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</si>
  <si>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</si>
  <si>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</si>
  <si>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</si>
  <si>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</si>
  <si>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</si>
  <si>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</si>
  <si>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</si>
  <si>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</si>
  <si>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</si>
  <si>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</si>
  <si>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</si>
  <si>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</si>
  <si>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</si>
  <si>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</si>
  <si>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</si>
  <si>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</si>
  <si>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</si>
  <si>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</si>
  <si>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</si>
  <si>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</si>
  <si>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</si>
  <si>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</si>
  <si>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</si>
  <si>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</si>
  <si>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</si>
  <si>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</si>
  <si>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</si>
  <si>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</si>
  <si>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</si>
  <si>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</si>
  <si>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</si>
  <si>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</si>
  <si>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</si>
  <si>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</si>
  <si>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</si>
  <si>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</si>
  <si>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</si>
  <si>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</si>
  <si>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</si>
  <si>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</si>
  <si>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</si>
  <si>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</si>
  <si>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</si>
  <si>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</si>
  <si>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</si>
  <si>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</si>
  <si>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</si>
  <si>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</si>
  <si>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</si>
  <si>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</si>
  <si>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</si>
  <si>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</si>
  <si>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</si>
  <si>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</si>
  <si>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</si>
  <si>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</si>
  <si>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</si>
  <si>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</si>
  <si>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</si>
  <si>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</si>
  <si>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</si>
  <si>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</si>
  <si>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</si>
  <si>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</si>
  <si>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</si>
  <si>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</si>
  <si>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</si>
  <si>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</si>
  <si>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</si>
  <si>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</si>
  <si>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</si>
  <si>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</si>
  <si>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</si>
  <si>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</si>
  <si>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</si>
  <si>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</si>
  <si>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</si>
  <si>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</si>
  <si>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</si>
  <si>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</si>
  <si>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</si>
  <si>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</si>
  <si>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</si>
  <si>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</si>
  <si>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</si>
  <si>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</si>
  <si>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</si>
  <si>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</si>
  <si>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</si>
  <si>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</si>
  <si>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</si>
  <si>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</si>
  <si>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</si>
  <si>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</si>
  <si>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</si>
  <si>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</si>
  <si>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</si>
  <si>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</si>
  <si>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</si>
  <si>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</si>
  <si>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</si>
  <si>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</si>
  <si>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</si>
  <si>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</si>
  <si>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</si>
  <si>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</si>
  <si>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</si>
  <si>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</si>
  <si>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</si>
  <si>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</si>
  <si>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</si>
  <si>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</si>
  <si>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</si>
  <si>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</si>
  <si>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</si>
  <si>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</si>
  <si>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</si>
  <si>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</si>
  <si>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</si>
  <si>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</si>
  <si>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</si>
  <si>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</si>
  <si>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</si>
  <si>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</si>
  <si>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</si>
  <si>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</si>
  <si>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</si>
  <si>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</si>
  <si>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</si>
  <si>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</si>
  <si>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</si>
  <si>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</si>
  <si>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</si>
  <si>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</si>
  <si>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</si>
  <si>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</si>
  <si>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</si>
  <si>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</si>
  <si>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</si>
  <si>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</si>
  <si>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</si>
  <si>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</si>
  <si>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</si>
  <si>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</si>
  <si>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</si>
  <si>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</si>
  <si>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</si>
  <si>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</si>
  <si>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</si>
  <si>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</si>
  <si>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</si>
  <si>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</si>
  <si>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</si>
  <si>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</si>
  <si>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</si>
  <si>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</si>
  <si>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</si>
  <si>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</si>
  <si>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</si>
  <si>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</si>
  <si>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</si>
  <si>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</si>
  <si>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</si>
  <si>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</si>
  <si>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</si>
  <si>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</si>
  <si>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</si>
  <si>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</si>
  <si>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</si>
  <si>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</si>
  <si>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</si>
  <si>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</si>
  <si>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</si>
  <si>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</si>
  <si>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</si>
  <si>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</si>
  <si>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</si>
  <si>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</si>
  <si>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</si>
  <si>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</si>
  <si>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</si>
  <si>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</si>
  <si>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</si>
  <si>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</si>
  <si>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</si>
  <si>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</si>
  <si>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</si>
  <si>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</si>
  <si>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</si>
  <si>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</si>
  <si>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</si>
  <si>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</si>
  <si>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</si>
  <si>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</si>
  <si>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</si>
  <si>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</si>
  <si>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</si>
  <si>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</si>
  <si>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</si>
  <si>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</si>
  <si>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</si>
  <si>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</si>
  <si>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</si>
  <si>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</si>
  <si>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</si>
  <si>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</si>
  <si>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</si>
  <si>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</si>
  <si>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</si>
  <si>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</si>
  <si>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</si>
  <si>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</si>
  <si>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</si>
  <si>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</si>
  <si>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</si>
  <si>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</si>
  <si>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</si>
  <si>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</si>
  <si>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</si>
  <si>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</si>
  <si>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</si>
  <si>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</si>
  <si>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</si>
  <si>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</si>
  <si>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</si>
  <si>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</si>
  <si>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</si>
  <si>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</si>
  <si>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</si>
  <si>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</si>
  <si>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</si>
  <si>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</si>
  <si>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</si>
  <si>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</si>
  <si>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</si>
  <si>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</si>
  <si>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</si>
  <si>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</si>
  <si>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</si>
  <si>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</si>
  <si>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</si>
  <si>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</si>
  <si>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</si>
  <si>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</si>
  <si>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</si>
  <si>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</si>
  <si>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</si>
  <si>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</si>
  <si>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</si>
  <si>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</si>
  <si>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</si>
  <si>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</si>
  <si>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</si>
  <si>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</si>
  <si>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</si>
  <si>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</si>
  <si>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</si>
  <si>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</si>
  <si>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</si>
  <si>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</si>
  <si>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</si>
  <si>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</si>
  <si>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</si>
  <si>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</si>
  <si>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</si>
  <si>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</si>
  <si>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</si>
  <si>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</si>
  <si>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</si>
  <si>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</si>
  <si>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</si>
  <si>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</si>
  <si>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</si>
  <si>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</si>
  <si>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</si>
  <si>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</si>
  <si>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</si>
  <si>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</si>
  <si>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</si>
  <si>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</si>
  <si>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</si>
  <si>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</si>
  <si>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</si>
  <si>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</si>
  <si>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</si>
  <si>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</si>
  <si>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</si>
  <si>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</si>
  <si>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</si>
  <si>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</si>
  <si>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</si>
  <si>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</si>
  <si>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</si>
  <si>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</si>
  <si>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</si>
  <si>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</si>
  <si>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</si>
  <si>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</si>
  <si>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</si>
  <si>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</si>
  <si>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</si>
  <si>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</si>
  <si>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</si>
  <si>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</si>
  <si>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</si>
  <si>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</si>
  <si>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</si>
  <si>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</si>
  <si>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</si>
  <si>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</si>
  <si>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</si>
  <si>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</si>
  <si>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</si>
  <si>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</si>
  <si>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</si>
  <si>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</si>
  <si>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</si>
  <si>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</si>
  <si>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</si>
  <si>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</si>
  <si>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</si>
  <si>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</si>
  <si>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</si>
  <si>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</si>
  <si>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</si>
  <si>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</si>
  <si>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</si>
  <si>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</si>
  <si>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</si>
  <si>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</si>
  <si>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</si>
  <si>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</si>
  <si>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</si>
  <si>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</si>
  <si>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</si>
  <si>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</si>
  <si>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</si>
  <si>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</si>
  <si>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</si>
  <si>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</si>
  <si>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</si>
  <si>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</si>
  <si>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</si>
  <si>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</si>
  <si>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</si>
  <si>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</si>
  <si>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</si>
  <si>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</si>
  <si>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</si>
  <si>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</si>
  <si>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</si>
  <si>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</si>
  <si>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</si>
  <si>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</si>
  <si>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</si>
  <si>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</si>
  <si>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</si>
  <si>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</si>
  <si>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</si>
  <si>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</si>
  <si>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</si>
  <si>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</si>
  <si>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</si>
  <si>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</si>
  <si>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</si>
  <si>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</si>
  <si>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</si>
  <si>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</si>
  <si>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</si>
  <si>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</si>
  <si>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</si>
  <si>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</si>
  <si>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</si>
  <si>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</si>
  <si>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</si>
  <si>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</si>
  <si>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</si>
  <si>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</si>
  <si>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</si>
  <si>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</si>
  <si>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</si>
  <si>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</si>
  <si>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</si>
  <si>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</si>
  <si>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</si>
  <si>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</si>
  <si>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</si>
  <si>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</si>
  <si>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</si>
  <si>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</si>
  <si>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</si>
  <si>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</si>
  <si>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</si>
  <si>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</si>
  <si>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</si>
  <si>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</si>
  <si>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</si>
  <si>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</si>
  <si>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</si>
  <si>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</si>
  <si>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</si>
  <si>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</si>
  <si>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</si>
  <si>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</si>
  <si>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</si>
  <si>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</si>
  <si>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</si>
  <si>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</si>
  <si>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</si>
  <si>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</si>
  <si>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</si>
  <si>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</si>
  <si>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</si>
  <si>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</si>
  <si>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</si>
  <si>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</si>
  <si>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</si>
  <si>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</si>
  <si>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</si>
  <si>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</si>
  <si>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</si>
  <si>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</si>
  <si>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</si>
  <si>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</si>
  <si>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</si>
  <si>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</si>
  <si>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</si>
  <si>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</si>
  <si>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</si>
  <si>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</si>
  <si>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</si>
  <si>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</si>
  <si>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</si>
  <si>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</si>
  <si>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</si>
  <si>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</si>
  <si>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</si>
  <si>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</si>
  <si>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</si>
  <si>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</si>
  <si>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</si>
  <si>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</si>
  <si>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</si>
  <si>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</si>
  <si>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</si>
  <si>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</si>
  <si>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</si>
  <si>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</si>
  <si>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</si>
  <si>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</si>
  <si>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</si>
  <si>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</si>
  <si>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</si>
  <si>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</si>
  <si>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</si>
  <si>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</si>
  <si>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</si>
  <si>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</si>
  <si>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</si>
  <si>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</si>
  <si>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</si>
  <si>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</si>
  <si>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</si>
  <si>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</si>
  <si>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</si>
  <si>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</si>
  <si>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</si>
  <si>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</si>
  <si>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</si>
  <si>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</si>
  <si>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</si>
  <si>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</si>
  <si>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</si>
  <si>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</si>
  <si>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</si>
  <si>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</si>
  <si>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</si>
  <si>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</si>
  <si>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</si>
  <si>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</si>
  <si>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</si>
  <si>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</si>
  <si>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</si>
  <si>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</si>
  <si>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</si>
  <si>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</si>
  <si>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</si>
  <si>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</si>
  <si>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</si>
  <si>
    <t>14296</t>
  </si>
  <si>
    <t>Patronato Nacional de Rehabilitación (PANARE)</t>
  </si>
  <si>
    <t>15216</t>
  </si>
  <si>
    <t>Municipalidad de Rio 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</si>
</sst>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195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5" fillId="0" borderId="8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</cellXfs>
  <cellStyles count="6">
    <cellStyle name="60% - Énfasis2" xfId="3" builtinId="36"/>
    <cellStyle name="Énfasis4" xfId="4" builtinId="41"/>
    <cellStyle name="Énfasis5" xfId="5" builtinId="45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tabSelected="1" view="pageBreakPreview" zoomScaleNormal="100" zoomScaleSheetLayoutView="100" workbookViewId="0">
      <selection activeCell="D167" sqref="D167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61" t="str">
        <f ca="1">Data!N1</f>
        <v xml:space="preserve">Consejo Nacional de Investigaciones Científicas y Tecnológicas (CONICIT) </v>
      </c>
      <c r="B1" s="161"/>
      <c r="C1" s="161"/>
      <c r="D1" s="161"/>
      <c r="E1" s="161"/>
    </row>
    <row r="2" spans="1:6" ht="18" customHeight="1" x14ac:dyDescent="0.25">
      <c r="A2" s="161" t="s">
        <v>0</v>
      </c>
      <c r="B2" s="161"/>
      <c r="C2" s="161"/>
      <c r="D2" s="161"/>
      <c r="E2" s="161"/>
      <c r="F2" s="39"/>
    </row>
    <row r="3" spans="1:6" ht="18" customHeight="1" x14ac:dyDescent="0.25">
      <c r="A3" s="161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2021 al 30 de Junio de 2021</v>
      </c>
      <c r="B3" s="161"/>
      <c r="C3" s="161"/>
      <c r="D3" s="161"/>
      <c r="E3" s="161"/>
    </row>
    <row r="4" spans="1:6" ht="18" customHeight="1" x14ac:dyDescent="0.25">
      <c r="A4" s="162" t="s">
        <v>1583</v>
      </c>
      <c r="B4" s="162"/>
      <c r="C4" s="162"/>
      <c r="D4" s="162"/>
      <c r="E4" s="162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2021</v>
      </c>
      <c r="E6" s="90" t="str">
        <f ca="1">"Año "&amp;Data!C2-1</f>
        <v>Año 2020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950202.70558000007</v>
      </c>
      <c r="E10" s="62">
        <f>SUM(E11:E12)</f>
        <v>1122469.05109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v>950202.70558000007</v>
      </c>
      <c r="E11" s="160">
        <f>1122469051.09/1000</f>
        <v>1122469.05109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/>
      <c r="E12" s="66"/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/>
      <c r="E14" s="66"/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964395.94198999996</v>
      </c>
      <c r="E19" s="62">
        <f>SUM(E20:E34)</f>
        <v>1840500.0629700001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66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>
        <v>95.879000000000005</v>
      </c>
      <c r="E21" s="66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66"/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>
        <v>4.0490000000000005E-2</v>
      </c>
      <c r="E23" s="160">
        <f>990144.19/1000</f>
        <v>990.14418999999998</v>
      </c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160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>
        <v>671599.73051999998</v>
      </c>
      <c r="E25" s="160">
        <f>1665106724.32/1000</f>
        <v>1665106.72432</v>
      </c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160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>
        <v>227217.79437000002</v>
      </c>
      <c r="E27" s="160">
        <f>109114518.85/1000</f>
        <v>109114.51884999999</v>
      </c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/>
      <c r="E28" s="160" t="s">
        <v>172</v>
      </c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160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160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160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160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>
        <v>9570.76</v>
      </c>
      <c r="E33" s="160">
        <f>9570760/1000</f>
        <v>9570.76</v>
      </c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>
        <v>55911.737609999996</v>
      </c>
      <c r="E34" s="160">
        <f>55717915.61/1000</f>
        <v>55717.915609999996</v>
      </c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3385.1618199999998</v>
      </c>
      <c r="E35" s="62">
        <f>SUM(E36:E40)</f>
        <v>3398.5754300000003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>
        <v>3385.1618199999998</v>
      </c>
      <c r="E36" s="160">
        <f>3398575.43/1000</f>
        <v>3398.5754300000003</v>
      </c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66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66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66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66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63882.060639999996</v>
      </c>
      <c r="E41" s="62">
        <f>SUM(E42:E44)</f>
        <v>2289.7860400000004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>
        <v>63738.563249999999</v>
      </c>
      <c r="E42" s="66">
        <v>2215.3831600000003</v>
      </c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>
        <v>143.49739000000002</v>
      </c>
      <c r="E43" s="66">
        <v>74.40288000000001</v>
      </c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66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1981865.8700299999</v>
      </c>
      <c r="E45" s="76">
        <f>+E41++E35+E19+E13+E10</f>
        <v>2968657.4755299999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0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/>
      <c r="E57" s="66"/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1645073.60167</v>
      </c>
      <c r="E62" s="62">
        <f>SUM(E63:E71)</f>
        <v>1654215.00973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v>1606741.80045</v>
      </c>
      <c r="E63" s="160">
        <f>1626601710.66/1000</f>
        <v>1626601.7106600001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160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160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160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160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160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160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v>38331.801220000008</v>
      </c>
      <c r="E70" s="160">
        <f>27613299.07/1000</f>
        <v>27613.299070000001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66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451406.97166000004</v>
      </c>
      <c r="E79" s="62">
        <f>SUM(E80:E83)</f>
        <v>454276.62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66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66"/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66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66">
        <v>451406.97166000004</v>
      </c>
      <c r="E83" s="66">
        <v>454276.62</v>
      </c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3560.1257799999998</v>
      </c>
      <c r="E84" s="62">
        <f>SUM(E85:E87)</f>
        <v>3560.1257799999998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66">
        <v>3560.1257799999998</v>
      </c>
      <c r="E87" s="160">
        <f>3560125.78/1000</f>
        <v>3560.1257799999998</v>
      </c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2100040.6991099999</v>
      </c>
      <c r="E88" s="76">
        <f>+E84+E79+E72+E62+E54+E48</f>
        <v>2112051.75551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4081906.5691399998</v>
      </c>
      <c r="E89" s="78">
        <f>+E88+E45</f>
        <v>5080709.23104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490846.87889999995</v>
      </c>
      <c r="E93" s="62">
        <f>SUM(E94:E103)</f>
        <v>347617.01668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>
        <v>326078.43933999992</v>
      </c>
      <c r="E94" s="160">
        <f>260398606.49/1000</f>
        <v>260398.60649000001</v>
      </c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>
        <v>148212.71156000003</v>
      </c>
      <c r="E95" s="160">
        <f>87218410.19/1000</f>
        <v>87218.410189999995</v>
      </c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>
        <v>16555.727999999999</v>
      </c>
      <c r="E96" s="160"/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160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66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66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66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66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66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66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52883.280510000004</v>
      </c>
      <c r="E110" s="62">
        <f>SUM(E111:E114)</f>
        <v>133039.87620999999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/>
      <c r="E111" s="160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160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>
        <v>3914.6520800000008</v>
      </c>
      <c r="E113" s="160">
        <f>4289876.21/1000</f>
        <v>4289.8762100000004</v>
      </c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>
        <v>48968.628430000004</v>
      </c>
      <c r="E114" s="160">
        <f>128750000/1000</f>
        <v>128750</v>
      </c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622631.10209000017</v>
      </c>
      <c r="E118" s="62">
        <f>SUM(E119:E121)</f>
        <v>1626392.90906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>
        <v>622631.10209000017</v>
      </c>
      <c r="E119" s="160">
        <f>1626392909.06/1000</f>
        <v>1626392.90906</v>
      </c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66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/>
      <c r="E121" s="66"/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1166361.2615</v>
      </c>
      <c r="E122" s="76">
        <f>+E118+E115+E110+E104+E93</f>
        <v>2107049.8019499998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1166361.2615</v>
      </c>
      <c r="E148" s="78">
        <f>+E147+E122</f>
        <v>2107049.8019499998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800</v>
      </c>
      <c r="E152" s="62">
        <f>SUM(E153:E154)</f>
        <v>800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v>78.022109999999998</v>
      </c>
      <c r="E153" s="160">
        <f>78022.11/1000</f>
        <v>78.022109999999998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>
        <v>721.97789</v>
      </c>
      <c r="E154" s="160">
        <f>721977.89/1000</f>
        <v>721.97789</v>
      </c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0</v>
      </c>
      <c r="E155" s="62">
        <f>SUM(E156:E157)</f>
        <v>0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/>
      <c r="E156" s="66"/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478064.71872999996</v>
      </c>
      <c r="E158" s="62">
        <f>SUM(E159:E160)</f>
        <v>470951.93108999997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>
        <v>478064.71872999996</v>
      </c>
      <c r="E159" s="160">
        <f>470951931.09/1000</f>
        <v>470951.93108999997</v>
      </c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2436680.5889099999</v>
      </c>
      <c r="E166" s="62">
        <f>SUM(E167:E168)</f>
        <v>2501907.4942499995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v>2417448.4820599998</v>
      </c>
      <c r="E167" s="160">
        <f>2452353502.97/1000</f>
        <v>2452353.5029699998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f>+EstadoResultados_Rendimiento!D228</f>
        <v>19232.106850000098</v>
      </c>
      <c r="E168" s="160">
        <f>+EstadoResultados_Rendimiento!E228</f>
        <v>49553.991279999958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2915545.3076399998</v>
      </c>
      <c r="E178" s="76">
        <f>+E173+E170+E166+E161+E158+E155+E152</f>
        <v>2973659.4253399996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4081906.5691399998</v>
      </c>
      <c r="E179" s="78">
        <f>+E178+E148</f>
        <v>5080709.2272899989</v>
      </c>
      <c r="F179" s="44"/>
    </row>
    <row r="180" spans="1:6" ht="18" customHeight="1" x14ac:dyDescent="0.25">
      <c r="B180" s="48"/>
      <c r="C180" s="45"/>
      <c r="D180" s="49">
        <f>+D179-D89</f>
        <v>0</v>
      </c>
      <c r="E180" s="49">
        <f>+E179-E89</f>
        <v>-3.7500010803341866E-3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algorithmName="SHA-512" hashValue="0ilnaPYjPqowx842JxJZPaVq8+4R8ucibGNMv05xuxgJGX8k7F/c7LbyIkwbd4GyHvyEQd7978gLMuMcY3E0fw==" saltValue="KM3xEZDbzgykSpG0ss/K7w==" spinCount="100000" sheet="1" objects="1" scenarios="1"/>
  <protectedRanges>
    <protectedRange sqref="D11:E12 D14:E18 D36:E40 D42:E44 D49:E53 D55:E61 D63:E71 D73:E78 D80:E83 D85:E87 D20:E34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view="pageBreakPreview" topLeftCell="A217" zoomScale="110" zoomScaleNormal="100" zoomScaleSheetLayoutView="110" workbookViewId="0">
      <selection activeCell="D226" sqref="D226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61" t="str">
        <f ca="1">Data!N1</f>
        <v xml:space="preserve">Consejo Nacional de Investigaciones Científicas y Tecnológicas (CONICIT) </v>
      </c>
      <c r="B1" s="161"/>
      <c r="C1" s="161"/>
      <c r="D1" s="161"/>
      <c r="E1" s="161"/>
      <c r="F1" s="38"/>
    </row>
    <row r="2" spans="1:6" ht="18" customHeight="1" x14ac:dyDescent="0.25">
      <c r="A2" s="161" t="s">
        <v>375</v>
      </c>
      <c r="B2" s="161"/>
      <c r="C2" s="161"/>
      <c r="D2" s="161"/>
      <c r="E2" s="161"/>
      <c r="F2" s="39"/>
    </row>
    <row r="3" spans="1:6" ht="18" customHeight="1" x14ac:dyDescent="0.25">
      <c r="A3" s="161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2021 al 30 de Junio de 2021</v>
      </c>
      <c r="B3" s="161"/>
      <c r="C3" s="161"/>
      <c r="D3" s="161"/>
      <c r="E3" s="161"/>
      <c r="F3" s="38"/>
    </row>
    <row r="4" spans="1:6" ht="18" customHeight="1" x14ac:dyDescent="0.25">
      <c r="A4" s="162" t="s">
        <v>1583</v>
      </c>
      <c r="B4" s="162"/>
      <c r="C4" s="162"/>
      <c r="D4" s="162"/>
      <c r="E4" s="162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2021</v>
      </c>
      <c r="E6" s="110" t="str">
        <f ca="1">"Año "&amp;Data!C2-1</f>
        <v>Año 2020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0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/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/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1.65E-3</v>
      </c>
      <c r="E74" s="62">
        <f>SUM(E75:E77)</f>
        <v>2.31E-3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v>1.65E-3</v>
      </c>
      <c r="E75" s="66">
        <f>2.31/1000</f>
        <v>2.31E-3</v>
      </c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932955.23019000003</v>
      </c>
      <c r="E90" s="62">
        <f>SUM(E91:E93)</f>
        <v>674183.29863999994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v>932955.23019000003</v>
      </c>
      <c r="E92" s="66">
        <f>674183298.64/1000</f>
        <v>674183.29863999994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714.96389999999997</v>
      </c>
      <c r="E99" s="62">
        <f>SUM(E100:E105)</f>
        <v>2669.8385099999996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>
        <v>714.96389999999997</v>
      </c>
      <c r="E100" s="66">
        <f>2669838.51/1000</f>
        <v>2669.8385099999996</v>
      </c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0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66"/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0</v>
      </c>
      <c r="E124" s="62">
        <f>SUM(E125)</f>
        <v>2159.3637400000002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/>
      <c r="E125" s="66">
        <f>2159363.74/1000</f>
        <v>2159.3637400000002</v>
      </c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27331.567010000002</v>
      </c>
      <c r="E127" s="62">
        <f>SUM(E128)</f>
        <v>78156.342669999998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>
        <v>27331.567010000002</v>
      </c>
      <c r="E128" s="66">
        <f>78156342.67/1000</f>
        <v>78156.342669999998</v>
      </c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961001.76274999999</v>
      </c>
      <c r="E129" s="78">
        <f>+E127+E124+E119+E115+E109+E106+E99+E94+E90+E82+E78+E74+E71+E61+E58+E54+E51+E48+E45+E40+E37+E33+E30+E26+E22+E15+E10</f>
        <v>757168.84586999996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503177.08507999999</v>
      </c>
      <c r="E133" s="62">
        <f>SUM(E134:E141)</f>
        <v>492253.19489000004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>
        <v>203599.78013</v>
      </c>
      <c r="E134" s="66">
        <f>208183801.97/1000</f>
        <v>208183.80197</v>
      </c>
    </row>
    <row r="135" spans="1:6" ht="18" customHeight="1" x14ac:dyDescent="0.25">
      <c r="A135" s="68" t="s">
        <v>653</v>
      </c>
      <c r="B135" s="100" t="s">
        <v>654</v>
      </c>
      <c r="C135" s="65"/>
      <c r="D135" s="66">
        <v>3480.4325400000002</v>
      </c>
      <c r="E135" s="66">
        <f>2984488.6/1000</f>
        <v>2984.4886000000001</v>
      </c>
    </row>
    <row r="136" spans="1:6" ht="18" customHeight="1" x14ac:dyDescent="0.25">
      <c r="A136" s="68" t="s">
        <v>655</v>
      </c>
      <c r="B136" s="100" t="s">
        <v>656</v>
      </c>
      <c r="C136" s="65"/>
      <c r="D136" s="66">
        <v>176855.72669000001</v>
      </c>
      <c r="E136" s="66">
        <f>168341075.43/1000</f>
        <v>168341.07543</v>
      </c>
    </row>
    <row r="137" spans="1:6" ht="18" customHeight="1" x14ac:dyDescent="0.25">
      <c r="A137" s="68" t="s">
        <v>657</v>
      </c>
      <c r="B137" s="100" t="s">
        <v>658</v>
      </c>
      <c r="C137" s="65"/>
      <c r="D137" s="66">
        <v>83195.194899999988</v>
      </c>
      <c r="E137" s="66">
        <f>77649377.51/1000</f>
        <v>77649.377510000006</v>
      </c>
    </row>
    <row r="138" spans="1:6" ht="18" customHeight="1" x14ac:dyDescent="0.25">
      <c r="A138" s="68" t="s">
        <v>659</v>
      </c>
      <c r="B138" s="100" t="s">
        <v>660</v>
      </c>
      <c r="C138" s="65"/>
      <c r="D138" s="66">
        <v>36045.950819999998</v>
      </c>
      <c r="E138" s="66">
        <f>35094451.38/1000</f>
        <v>35094.451380000006</v>
      </c>
    </row>
    <row r="139" spans="1:6" ht="18" customHeight="1" x14ac:dyDescent="0.25">
      <c r="A139" s="68" t="s">
        <v>661</v>
      </c>
      <c r="B139" s="100" t="s">
        <v>662</v>
      </c>
      <c r="C139" s="65"/>
      <c r="D139" s="66"/>
      <c r="E139" s="66"/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66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30947.449400000001</v>
      </c>
      <c r="E142" s="62">
        <f>SUM(E143:E151)</f>
        <v>49376.381410000002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>
        <v>58.47072</v>
      </c>
      <c r="E143" s="66">
        <f>81915.96/1000</f>
        <v>81.915960000000013</v>
      </c>
    </row>
    <row r="144" spans="1:6" ht="18" customHeight="1" x14ac:dyDescent="0.25">
      <c r="A144" s="68" t="s">
        <v>671</v>
      </c>
      <c r="B144" s="100" t="s">
        <v>672</v>
      </c>
      <c r="C144" s="65"/>
      <c r="D144" s="66">
        <v>7003.2033900000006</v>
      </c>
      <c r="E144" s="66">
        <f>8922425.13/1000</f>
        <v>8922.4251300000014</v>
      </c>
    </row>
    <row r="145" spans="1:6" ht="18" customHeight="1" x14ac:dyDescent="0.25">
      <c r="A145" s="68" t="s">
        <v>673</v>
      </c>
      <c r="B145" s="100" t="s">
        <v>674</v>
      </c>
      <c r="C145" s="65"/>
      <c r="D145" s="66">
        <v>1357.3091700000002</v>
      </c>
      <c r="E145" s="66">
        <f>1243396.77/1000</f>
        <v>1243.3967700000001</v>
      </c>
    </row>
    <row r="146" spans="1:6" ht="18" customHeight="1" x14ac:dyDescent="0.25">
      <c r="A146" s="68" t="s">
        <v>675</v>
      </c>
      <c r="B146" s="100" t="s">
        <v>676</v>
      </c>
      <c r="C146" s="65"/>
      <c r="D146" s="66">
        <v>16623.376250000001</v>
      </c>
      <c r="E146" s="66">
        <f>32817346.65/1000</f>
        <v>32817.346649999999</v>
      </c>
    </row>
    <row r="147" spans="1:6" ht="18" customHeight="1" x14ac:dyDescent="0.25">
      <c r="A147" s="68" t="s">
        <v>677</v>
      </c>
      <c r="B147" s="100" t="s">
        <v>678</v>
      </c>
      <c r="C147" s="65"/>
      <c r="D147" s="66"/>
      <c r="E147" s="66">
        <f>45600/1000</f>
        <v>45.6</v>
      </c>
    </row>
    <row r="148" spans="1:6" ht="18" customHeight="1" x14ac:dyDescent="0.25">
      <c r="A148" s="68" t="s">
        <v>679</v>
      </c>
      <c r="B148" s="100" t="s">
        <v>680</v>
      </c>
      <c r="C148" s="65"/>
      <c r="D148" s="66">
        <v>3407.0200399999999</v>
      </c>
      <c r="E148" s="66">
        <f>3168572.84/1000</f>
        <v>3168.5728399999998</v>
      </c>
    </row>
    <row r="149" spans="1:6" ht="18" customHeight="1" x14ac:dyDescent="0.25">
      <c r="A149" s="68" t="s">
        <v>681</v>
      </c>
      <c r="B149" s="100" t="s">
        <v>682</v>
      </c>
      <c r="C149" s="65"/>
      <c r="D149" s="66"/>
      <c r="E149" s="66">
        <f>158100/1000</f>
        <v>158.1</v>
      </c>
    </row>
    <row r="150" spans="1:6" ht="18" customHeight="1" x14ac:dyDescent="0.25">
      <c r="A150" s="68" t="s">
        <v>683</v>
      </c>
      <c r="B150" s="100" t="s">
        <v>684</v>
      </c>
      <c r="C150" s="65"/>
      <c r="D150" s="66">
        <v>2498.0698299999999</v>
      </c>
      <c r="E150" s="66">
        <f>2939024.06/1000</f>
        <v>2939.0240600000002</v>
      </c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/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1179.3376300000002</v>
      </c>
      <c r="E152" s="62">
        <f>SUM(E153:E157)</f>
        <v>442.19815999999997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>
        <v>189.44702000000001</v>
      </c>
      <c r="E153" s="66">
        <f>228371.61/1000</f>
        <v>228.37160999999998</v>
      </c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66"/>
    </row>
    <row r="155" spans="1:6" ht="18" customHeight="1" x14ac:dyDescent="0.25">
      <c r="A155" s="68" t="s">
        <v>694</v>
      </c>
      <c r="B155" s="100" t="s">
        <v>695</v>
      </c>
      <c r="C155" s="65"/>
      <c r="D155" s="66">
        <v>868.22602000000006</v>
      </c>
      <c r="E155" s="66">
        <f>27533.68/1000</f>
        <v>27.53368</v>
      </c>
    </row>
    <row r="156" spans="1:6" ht="18" customHeight="1" x14ac:dyDescent="0.25">
      <c r="A156" s="68" t="s">
        <v>696</v>
      </c>
      <c r="B156" s="100" t="s">
        <v>697</v>
      </c>
      <c r="C156" s="65"/>
      <c r="D156" s="66"/>
      <c r="E156" s="66"/>
    </row>
    <row r="157" spans="1:6" ht="18" customHeight="1" x14ac:dyDescent="0.25">
      <c r="A157" s="68" t="s">
        <v>698</v>
      </c>
      <c r="B157" s="100" t="s">
        <v>699</v>
      </c>
      <c r="C157" s="65"/>
      <c r="D157" s="66">
        <v>121.66458999999999</v>
      </c>
      <c r="E157" s="66">
        <f>186292.87/1000</f>
        <v>186.29286999999999</v>
      </c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31925.845750000004</v>
      </c>
      <c r="E158" s="62">
        <f>SUM(E159:E160)</f>
        <v>24299.689309999998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v>31925.845750000004</v>
      </c>
      <c r="E159" s="66">
        <f>24299689.31/1000</f>
        <v>24299.689309999998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0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/>
      <c r="E162" s="66"/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0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/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2327.335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>
        <v>2327.335</v>
      </c>
      <c r="E184" s="66"/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369698.53700999997</v>
      </c>
      <c r="E204" s="62">
        <f>SUM(E205:E207)</f>
        <v>54040.457349999997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>
        <v>22977.467000000001</v>
      </c>
      <c r="E205" s="66">
        <f>17653552/1000</f>
        <v>17653.552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v>336921.07000999997</v>
      </c>
      <c r="E206" s="66">
        <f>30902197.35/1000</f>
        <v>30902.197350000002</v>
      </c>
    </row>
    <row r="207" spans="1:6" ht="18" customHeight="1" x14ac:dyDescent="0.25">
      <c r="A207" s="68" t="s">
        <v>807</v>
      </c>
      <c r="B207" s="100" t="s">
        <v>808</v>
      </c>
      <c r="C207" s="65"/>
      <c r="D207" s="66">
        <v>9800</v>
      </c>
      <c r="E207" s="66">
        <f>5484708/1000</f>
        <v>5484.7079999999996</v>
      </c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0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66"/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335.80666000000002</v>
      </c>
      <c r="E213" s="62">
        <f>SUM(E214:E219)</f>
        <v>1951.3968400000001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>
        <v>335.80666000000002</v>
      </c>
      <c r="E214" s="66">
        <f>1951396.84/1000</f>
        <v>1951.3968400000001</v>
      </c>
    </row>
    <row r="215" spans="1:6" ht="18" customHeight="1" x14ac:dyDescent="0.25">
      <c r="A215" s="68" t="s">
        <v>824</v>
      </c>
      <c r="B215" s="100" t="s">
        <v>825</v>
      </c>
      <c r="C215" s="65"/>
      <c r="D215" s="66"/>
      <c r="E215" s="66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0</v>
      </c>
      <c r="E220" s="62">
        <f>SUM(E221:E222)</f>
        <v>85251.536630000002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>
        <v>0</v>
      </c>
      <c r="E221" s="66">
        <f>85251536.63/1000</f>
        <v>85251.536630000002</v>
      </c>
    </row>
    <row r="222" spans="1:6" ht="18" customHeight="1" x14ac:dyDescent="0.25">
      <c r="A222" s="68" t="s">
        <v>839</v>
      </c>
      <c r="B222" s="100" t="s">
        <v>840</v>
      </c>
      <c r="C222" s="65"/>
      <c r="D222" s="66"/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2178.2593700000002</v>
      </c>
      <c r="E223" s="62">
        <f>SUM(E224:E226)</f>
        <v>0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/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>
        <v>2178.2593700000002</v>
      </c>
      <c r="E226" s="66"/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941769.6558999999</v>
      </c>
      <c r="E227" s="78">
        <f>+E223+E220+E213+E208+E204+E195+E192+E189+E182+E177+E171+E168+E164+E161+E158+E152+E142+E133</f>
        <v>707614.85459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19232.106850000098</v>
      </c>
      <c r="E228" s="109">
        <f>+E129-E227</f>
        <v>49553.991279999958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0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39:E141 D151:E151 D160:E160 D163:E163 D165:E167 D169:E170 D172:E176 D178:E181 D190:E191 D193:E194 D196:E203 D209:E212 D215:E219 D222:E222 D221 D134:D138 D143:D150 D153:D157 D159 D183:E188 D205:D207 D214 D224:E226" name="Rango2"/>
    <protectedRange sqref="D11:E14 D16:E21 D23:E25 D27:E29 D31:E32 D34:E36 D38:E39 D41:E44 D46:E47 D49:E50 D52:E53 D55:E57 D59:E60 D62:E70 D72:E73 D76:E77 D79:E81 D83:E89 D91:E91 D95:E98 D101:E105 D107:E108 D110:E114 D116:E118 D120:E123 D126:E126 D93:E93 D125 D128" name="Rango1"/>
    <protectedRange sqref="B237:C237 A232:F232 B242" name="Rango2_1"/>
    <protectedRange sqref="D75:E75" name="Rango1_1"/>
    <protectedRange sqref="D92:E92" name="Rango1_2"/>
    <protectedRange sqref="D100:E100" name="Rango1_3"/>
    <protectedRange sqref="E125" name="Rango1_4"/>
    <protectedRange sqref="E128" name="Rango1_5"/>
    <protectedRange sqref="E134:E138" name="Rango2_2"/>
    <protectedRange sqref="E143:E150" name="Rango2_3"/>
    <protectedRange sqref="E153:E157" name="Rango2_4"/>
    <protectedRange sqref="E159" name="Rango2_5"/>
    <protectedRange sqref="E205:E207" name="Rango2_6"/>
    <protectedRange sqref="E214" name="Rango2_7"/>
    <protectedRange sqref="E221" name="Rango2_8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opLeftCell="A8" workbookViewId="0">
      <pane xSplit="2" ySplit="4" topLeftCell="P20" activePane="bottomRight" state="frozen"/>
      <selection activeCell="A8" sqref="A8"/>
      <selection pane="topRight" activeCell="C8" sqref="C8"/>
      <selection pane="bottomLeft" activeCell="A12" sqref="A12"/>
      <selection pane="bottomRight" activeCell="R19" sqref="R19"/>
    </sheetView>
  </sheetViews>
  <sheetFormatPr baseColWidth="10" defaultColWidth="11.42578125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3" customWidth="1"/>
    <col min="6" max="6" width="14" style="153" customWidth="1"/>
    <col min="7" max="7" width="23.7109375" style="153" customWidth="1"/>
    <col min="8" max="13" width="17.7109375" style="19" customWidth="1"/>
    <col min="14" max="15" width="23.7109375" style="153" customWidth="1"/>
    <col min="16" max="16" width="16.85546875" style="19" customWidth="1"/>
    <col min="17" max="18" width="17.7109375" style="19" customWidth="1"/>
    <col min="19" max="19" width="16.42578125" style="153" customWidth="1"/>
    <col min="20" max="20" width="17.85546875" style="153" bestFit="1" customWidth="1"/>
    <col min="21" max="21" width="22.5703125" style="153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5"/>
      <c r="F1" s="145"/>
      <c r="G1" s="145"/>
      <c r="H1" s="5"/>
      <c r="I1" s="5"/>
      <c r="J1" s="5"/>
      <c r="K1" s="5"/>
      <c r="L1" s="5"/>
      <c r="M1" s="5"/>
      <c r="N1" s="145"/>
      <c r="O1" s="145"/>
      <c r="P1" s="5"/>
      <c r="Q1" s="5"/>
      <c r="R1" s="5"/>
      <c r="S1" s="145"/>
      <c r="T1" s="145"/>
      <c r="U1" s="145"/>
      <c r="V1" s="5"/>
      <c r="W1" s="5"/>
      <c r="X1" s="5"/>
    </row>
    <row r="2" spans="1:24" s="4" customFormat="1" ht="15.75" x14ac:dyDescent="0.25">
      <c r="A2" s="170" t="str">
        <f ca="1">Data!N1</f>
        <v xml:space="preserve">Consejo Nacional de Investigaciones Científicas y Tecnológicas (CONICIT) 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5"/>
      <c r="W2" s="5"/>
      <c r="X2" s="5"/>
    </row>
    <row r="3" spans="1:24" s="4" customFormat="1" ht="15.75" x14ac:dyDescent="0.25">
      <c r="A3" s="170" t="s">
        <v>853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5"/>
      <c r="W3" s="5"/>
      <c r="X3" s="5"/>
    </row>
    <row r="4" spans="1:24" s="4" customFormat="1" ht="15.75" x14ac:dyDescent="0.25">
      <c r="A4" s="170" t="str">
        <f ca="1">+EstadoResultados_Rendimiento!A3</f>
        <v>Del 01 de Enero de 2021 al 30 de Junio de 2021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5"/>
      <c r="W4" s="5"/>
      <c r="X4" s="5"/>
    </row>
    <row r="5" spans="1:24" s="4" customFormat="1" ht="15.75" x14ac:dyDescent="0.25">
      <c r="A5" s="171" t="s">
        <v>1584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72" t="s">
        <v>1590</v>
      </c>
      <c r="B7" s="172" t="s">
        <v>854</v>
      </c>
      <c r="C7" s="173" t="s">
        <v>855</v>
      </c>
      <c r="D7" s="174"/>
      <c r="E7" s="174"/>
      <c r="F7" s="174"/>
      <c r="G7" s="175"/>
      <c r="H7" s="176" t="s">
        <v>856</v>
      </c>
      <c r="I7" s="177"/>
      <c r="J7" s="177"/>
      <c r="K7" s="177"/>
      <c r="L7" s="177"/>
      <c r="M7" s="177"/>
      <c r="N7" s="178"/>
      <c r="O7" s="167" t="s">
        <v>1591</v>
      </c>
      <c r="P7" s="179" t="s">
        <v>857</v>
      </c>
      <c r="Q7" s="180"/>
      <c r="R7" s="180"/>
      <c r="S7" s="180"/>
      <c r="T7" s="181"/>
      <c r="U7" s="167" t="s">
        <v>1592</v>
      </c>
    </row>
    <row r="8" spans="1:24" s="9" customFormat="1" ht="16.5" x14ac:dyDescent="0.25">
      <c r="A8" s="172"/>
      <c r="B8" s="172"/>
      <c r="C8" s="167" t="s">
        <v>858</v>
      </c>
      <c r="D8" s="167" t="s">
        <v>859</v>
      </c>
      <c r="E8" s="167" t="s">
        <v>860</v>
      </c>
      <c r="F8" s="167" t="s">
        <v>861</v>
      </c>
      <c r="G8" s="167" t="s">
        <v>1593</v>
      </c>
      <c r="H8" s="164" t="s">
        <v>862</v>
      </c>
      <c r="I8" s="164" t="s">
        <v>863</v>
      </c>
      <c r="J8" s="164" t="s">
        <v>859</v>
      </c>
      <c r="K8" s="164" t="s">
        <v>860</v>
      </c>
      <c r="L8" s="164" t="s">
        <v>861</v>
      </c>
      <c r="M8" s="164" t="s">
        <v>864</v>
      </c>
      <c r="N8" s="164" t="s">
        <v>1594</v>
      </c>
      <c r="O8" s="167"/>
      <c r="P8" s="163" t="s">
        <v>865</v>
      </c>
      <c r="Q8" s="163" t="s">
        <v>852</v>
      </c>
      <c r="R8" s="163" t="s">
        <v>863</v>
      </c>
      <c r="S8" s="163" t="s">
        <v>866</v>
      </c>
      <c r="T8" s="163" t="s">
        <v>867</v>
      </c>
      <c r="U8" s="167"/>
    </row>
    <row r="9" spans="1:24" s="9" customFormat="1" ht="16.5" x14ac:dyDescent="0.25">
      <c r="A9" s="172"/>
      <c r="B9" s="172"/>
      <c r="C9" s="167"/>
      <c r="D9" s="167"/>
      <c r="E9" s="167"/>
      <c r="F9" s="167"/>
      <c r="G9" s="167"/>
      <c r="H9" s="164"/>
      <c r="I9" s="164"/>
      <c r="J9" s="164"/>
      <c r="K9" s="164"/>
      <c r="L9" s="164"/>
      <c r="M9" s="164"/>
      <c r="N9" s="164"/>
      <c r="O9" s="167"/>
      <c r="P9" s="163"/>
      <c r="Q9" s="163"/>
      <c r="R9" s="163"/>
      <c r="S9" s="163"/>
      <c r="T9" s="163"/>
      <c r="U9" s="167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6"/>
      <c r="F10" s="146"/>
      <c r="G10" s="146"/>
      <c r="H10" s="13"/>
      <c r="I10" s="13"/>
      <c r="J10" s="13"/>
      <c r="K10" s="13"/>
      <c r="L10" s="13"/>
      <c r="M10" s="13"/>
      <c r="N10" s="146"/>
      <c r="O10" s="146"/>
      <c r="P10" s="13"/>
      <c r="Q10" s="13"/>
      <c r="R10" s="13"/>
      <c r="S10" s="146"/>
      <c r="T10" s="146"/>
      <c r="U10" s="157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1606451.6851099997</v>
      </c>
      <c r="D11" s="18">
        <f>SUM(D12:D23)</f>
        <v>0</v>
      </c>
      <c r="E11" s="147">
        <f>SUM(E12:E23)</f>
        <v>478567.85012999998</v>
      </c>
      <c r="F11" s="147">
        <f t="shared" ref="F11:T11" si="0">SUM(F12:F23)</f>
        <v>113937.57166000002</v>
      </c>
      <c r="G11" s="147">
        <f>SUM(G12:G23)</f>
        <v>1971081.9635799997</v>
      </c>
      <c r="H11" s="18">
        <f t="shared" si="0"/>
        <v>0</v>
      </c>
      <c r="I11" s="18">
        <f t="shared" si="0"/>
        <v>-17521.830000000002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47">
        <f t="shared" si="0"/>
        <v>-17521.830000000002</v>
      </c>
      <c r="O11" s="147">
        <f t="shared" si="0"/>
        <v>1953560.1335800001</v>
      </c>
      <c r="P11" s="18">
        <f t="shared" si="0"/>
        <v>-337978.71179999999</v>
      </c>
      <c r="Q11" s="18">
        <f t="shared" si="0"/>
        <v>-24183.192219999997</v>
      </c>
      <c r="R11" s="18">
        <f t="shared" si="0"/>
        <v>-15343.570900000001</v>
      </c>
      <c r="S11" s="147">
        <f t="shared" si="0"/>
        <v>-8839.6213200000002</v>
      </c>
      <c r="T11" s="147">
        <f t="shared" si="0"/>
        <v>-346818.33311999997</v>
      </c>
      <c r="U11" s="147">
        <f>SUM(U12:U23)</f>
        <v>1606741.8004599998</v>
      </c>
    </row>
    <row r="12" spans="1:24" ht="24" customHeight="1" x14ac:dyDescent="0.25">
      <c r="A12" s="21" t="s">
        <v>1596</v>
      </c>
      <c r="B12" s="22" t="s">
        <v>870</v>
      </c>
      <c r="C12" s="23">
        <v>199.9896</v>
      </c>
      <c r="D12" s="23"/>
      <c r="E12" s="148">
        <v>431153.05833999999</v>
      </c>
      <c r="F12" s="148"/>
      <c r="G12" s="154">
        <f>+C12+D12+E12-F12</f>
        <v>431353.04793999996</v>
      </c>
      <c r="H12" s="24"/>
      <c r="I12" s="24"/>
      <c r="J12" s="24"/>
      <c r="K12" s="24"/>
      <c r="L12" s="24"/>
      <c r="M12" s="24"/>
      <c r="N12" s="154">
        <f t="shared" ref="N12:N54" si="1">SUM(H12:M12)</f>
        <v>0</v>
      </c>
      <c r="O12" s="155">
        <f>+G12+N12</f>
        <v>431353.04793999996</v>
      </c>
      <c r="P12" s="23">
        <v>0</v>
      </c>
      <c r="Q12" s="23"/>
      <c r="R12" s="23"/>
      <c r="S12" s="158">
        <f>+Q12-R12</f>
        <v>0</v>
      </c>
      <c r="T12" s="158">
        <f>+P12+S12</f>
        <v>0</v>
      </c>
      <c r="U12" s="158">
        <f>+O12+T12</f>
        <v>431353.04793999996</v>
      </c>
    </row>
    <row r="13" spans="1:24" ht="24" customHeight="1" x14ac:dyDescent="0.25">
      <c r="A13" s="21" t="s">
        <v>1597</v>
      </c>
      <c r="B13" s="22" t="s">
        <v>871</v>
      </c>
      <c r="C13" s="23">
        <v>1281546.5490299999</v>
      </c>
      <c r="D13" s="23"/>
      <c r="E13" s="148">
        <v>39798.872750000002</v>
      </c>
      <c r="F13" s="148">
        <v>109609.25343000001</v>
      </c>
      <c r="G13" s="154">
        <f>+C13+D13+E13-F13</f>
        <v>1211736.1683499999</v>
      </c>
      <c r="H13" s="23"/>
      <c r="I13" s="23"/>
      <c r="J13" s="23"/>
      <c r="K13" s="23"/>
      <c r="L13" s="23"/>
      <c r="M13" s="23"/>
      <c r="N13" s="154">
        <f t="shared" si="1"/>
        <v>0</v>
      </c>
      <c r="O13" s="155">
        <f t="shared" ref="O13:O54" si="2">+G13+N13</f>
        <v>1211736.1683499999</v>
      </c>
      <c r="P13" s="23">
        <v>-129541.26626999999</v>
      </c>
      <c r="Q13" s="23">
        <f>-4512.62406-4538713.92/1000</f>
        <v>-9051.3379800000002</v>
      </c>
      <c r="R13" s="23"/>
      <c r="S13" s="158">
        <f t="shared" ref="S13:S41" si="3">+Q13-R13</f>
        <v>-9051.3379800000002</v>
      </c>
      <c r="T13" s="158">
        <f t="shared" ref="T13:T54" si="4">+P13+S13</f>
        <v>-138592.60425</v>
      </c>
      <c r="U13" s="158">
        <f t="shared" ref="U13:U54" si="5">+O13+T13</f>
        <v>1073143.5640999998</v>
      </c>
    </row>
    <row r="14" spans="1:24" ht="24" customHeight="1" x14ac:dyDescent="0.25">
      <c r="A14" s="21" t="s">
        <v>1598</v>
      </c>
      <c r="B14" s="22" t="s">
        <v>872</v>
      </c>
      <c r="C14" s="23">
        <v>16267.079300000001</v>
      </c>
      <c r="D14" s="23"/>
      <c r="E14" s="148"/>
      <c r="F14" s="148"/>
      <c r="G14" s="154">
        <f t="shared" ref="G14:G54" si="6">+C14+D14+E14-F14</f>
        <v>16267.079300000001</v>
      </c>
      <c r="H14" s="23"/>
      <c r="I14" s="23"/>
      <c r="J14" s="23"/>
      <c r="K14" s="23"/>
      <c r="L14" s="23"/>
      <c r="M14" s="23"/>
      <c r="N14" s="154">
        <f t="shared" si="1"/>
        <v>0</v>
      </c>
      <c r="O14" s="155">
        <f t="shared" si="2"/>
        <v>16267.079300000001</v>
      </c>
      <c r="P14" s="23">
        <v>-5574.3865099999994</v>
      </c>
      <c r="Q14" s="23">
        <f>-235.25347-240838.1/1000</f>
        <v>-476.09156999999999</v>
      </c>
      <c r="R14" s="23"/>
      <c r="S14" s="158">
        <f t="shared" si="3"/>
        <v>-476.09156999999999</v>
      </c>
      <c r="T14" s="158">
        <f t="shared" si="4"/>
        <v>-6050.478079999999</v>
      </c>
      <c r="U14" s="158">
        <f t="shared" si="5"/>
        <v>10216.601220000002</v>
      </c>
    </row>
    <row r="15" spans="1:24" ht="24" customHeight="1" x14ac:dyDescent="0.25">
      <c r="A15" s="21" t="s">
        <v>1599</v>
      </c>
      <c r="B15" s="22" t="s">
        <v>873</v>
      </c>
      <c r="C15" s="23">
        <v>60015.915999999997</v>
      </c>
      <c r="D15" s="23"/>
      <c r="E15" s="148">
        <v>7112.7876399999996</v>
      </c>
      <c r="F15" s="148"/>
      <c r="G15" s="154">
        <f>+C15+D15+E15-F15</f>
        <v>67128.703639999992</v>
      </c>
      <c r="H15" s="23"/>
      <c r="I15" s="23"/>
      <c r="J15" s="23"/>
      <c r="K15" s="23"/>
      <c r="L15" s="23"/>
      <c r="M15" s="23"/>
      <c r="N15" s="154">
        <f t="shared" si="1"/>
        <v>0</v>
      </c>
      <c r="O15" s="155">
        <f t="shared" si="2"/>
        <v>67128.703639999992</v>
      </c>
      <c r="P15" s="23">
        <v>-54014.324399999998</v>
      </c>
      <c r="Q15" s="23">
        <v>-3544.1704</v>
      </c>
      <c r="R15" s="23"/>
      <c r="S15" s="158">
        <f t="shared" si="3"/>
        <v>-3544.1704</v>
      </c>
      <c r="T15" s="158">
        <f t="shared" si="4"/>
        <v>-57558.4948</v>
      </c>
      <c r="U15" s="158">
        <f t="shared" si="5"/>
        <v>9570.2088399999921</v>
      </c>
    </row>
    <row r="16" spans="1:24" ht="24" customHeight="1" x14ac:dyDescent="0.25">
      <c r="A16" s="21" t="s">
        <v>1600</v>
      </c>
      <c r="B16" s="22" t="s">
        <v>874</v>
      </c>
      <c r="C16" s="23">
        <v>23976.264119999996</v>
      </c>
      <c r="D16" s="23"/>
      <c r="E16" s="148"/>
      <c r="F16" s="148"/>
      <c r="G16" s="154">
        <f>+C16+D16+E16-F16</f>
        <v>23976.264119999996</v>
      </c>
      <c r="H16" s="23"/>
      <c r="I16" s="23">
        <v>-5003.2522399999998</v>
      </c>
      <c r="J16" s="23"/>
      <c r="K16" s="23"/>
      <c r="L16" s="23"/>
      <c r="M16" s="23"/>
      <c r="N16" s="154">
        <f t="shared" si="1"/>
        <v>-5003.2522399999998</v>
      </c>
      <c r="O16" s="155">
        <f t="shared" si="2"/>
        <v>18973.011879999998</v>
      </c>
      <c r="P16" s="23">
        <v>-15386.205759999999</v>
      </c>
      <c r="Q16" s="23">
        <f>-341.71089-((13630.02+218090.04+121498.23)/1000)</f>
        <v>-694.92917999999997</v>
      </c>
      <c r="R16" s="23">
        <v>-4502.92695</v>
      </c>
      <c r="S16" s="158">
        <f t="shared" si="3"/>
        <v>3807.9977699999999</v>
      </c>
      <c r="T16" s="158">
        <f t="shared" si="4"/>
        <v>-11578.207989999999</v>
      </c>
      <c r="U16" s="158">
        <f t="shared" si="5"/>
        <v>7394.8038899999992</v>
      </c>
    </row>
    <row r="17" spans="1:21" s="20" customFormat="1" ht="24" customHeight="1" x14ac:dyDescent="0.25">
      <c r="A17" s="21" t="s">
        <v>1601</v>
      </c>
      <c r="B17" s="22" t="s">
        <v>875</v>
      </c>
      <c r="C17" s="23">
        <v>73073.295800000007</v>
      </c>
      <c r="D17" s="23"/>
      <c r="E17" s="148">
        <v>503.13140000000004</v>
      </c>
      <c r="F17" s="148">
        <v>4328.3182300000008</v>
      </c>
      <c r="G17" s="154">
        <f t="shared" si="6"/>
        <v>69248.108970000001</v>
      </c>
      <c r="H17" s="23"/>
      <c r="I17" s="23">
        <v>-1863.8969099999999</v>
      </c>
      <c r="J17" s="23"/>
      <c r="K17" s="23"/>
      <c r="L17" s="23"/>
      <c r="M17" s="23"/>
      <c r="N17" s="154">
        <f t="shared" si="1"/>
        <v>-1863.8969099999999</v>
      </c>
      <c r="O17" s="155">
        <f t="shared" si="2"/>
        <v>67384.212060000005</v>
      </c>
      <c r="P17" s="23">
        <v>-37037.899819999999</v>
      </c>
      <c r="Q17" s="23">
        <f>-1085.86554-((481154.52+520972.59+64908.3+445.5+120210.78)/1000)</f>
        <v>-2273.5572300000003</v>
      </c>
      <c r="R17" s="23">
        <v>-1677.5072500000001</v>
      </c>
      <c r="S17" s="158">
        <f t="shared" si="3"/>
        <v>-596.04998000000023</v>
      </c>
      <c r="T17" s="158">
        <f t="shared" si="4"/>
        <v>-37633.949800000002</v>
      </c>
      <c r="U17" s="158">
        <f t="shared" si="5"/>
        <v>29750.262260000003</v>
      </c>
    </row>
    <row r="18" spans="1:21" s="20" customFormat="1" ht="24" customHeight="1" x14ac:dyDescent="0.25">
      <c r="A18" s="21" t="s">
        <v>1602</v>
      </c>
      <c r="B18" s="22" t="s">
        <v>876</v>
      </c>
      <c r="C18" s="23">
        <v>145001.83683000001</v>
      </c>
      <c r="D18" s="23"/>
      <c r="E18" s="148"/>
      <c r="F18" s="148"/>
      <c r="G18" s="154">
        <f>+C18+D18+E18-F18</f>
        <v>145001.83683000001</v>
      </c>
      <c r="H18" s="23"/>
      <c r="I18" s="23">
        <v>-10286.76585</v>
      </c>
      <c r="J18" s="23"/>
      <c r="K18" s="23"/>
      <c r="L18" s="23"/>
      <c r="M18" s="23"/>
      <c r="N18" s="154">
        <f t="shared" si="1"/>
        <v>-10286.76585</v>
      </c>
      <c r="O18" s="155">
        <f t="shared" si="2"/>
        <v>134715.07098000002</v>
      </c>
      <c r="P18" s="23">
        <v>-93211.085550000018</v>
      </c>
      <c r="Q18" s="23">
        <f>-3987.09374-((3448738.72+68733.72+28060.41+243470.61+115492.86)/1000)</f>
        <v>-7891.5900600000004</v>
      </c>
      <c r="R18" s="23">
        <v>-8850.8974500000004</v>
      </c>
      <c r="S18" s="158">
        <f t="shared" si="3"/>
        <v>959.30738999999994</v>
      </c>
      <c r="T18" s="158">
        <f t="shared" si="4"/>
        <v>-92251.778160000016</v>
      </c>
      <c r="U18" s="158">
        <f t="shared" si="5"/>
        <v>42463.292820000002</v>
      </c>
    </row>
    <row r="19" spans="1:21" s="20" customFormat="1" ht="24" customHeight="1" x14ac:dyDescent="0.25">
      <c r="A19" s="21" t="s">
        <v>1603</v>
      </c>
      <c r="B19" s="22" t="s">
        <v>877</v>
      </c>
      <c r="C19" s="23">
        <v>425.58499999999998</v>
      </c>
      <c r="D19" s="23"/>
      <c r="E19" s="148"/>
      <c r="F19" s="148"/>
      <c r="G19" s="154">
        <f t="shared" si="6"/>
        <v>425.58499999999998</v>
      </c>
      <c r="H19" s="23"/>
      <c r="I19" s="23">
        <v>-1.6</v>
      </c>
      <c r="J19" s="23"/>
      <c r="K19" s="23"/>
      <c r="L19" s="23"/>
      <c r="M19" s="23"/>
      <c r="N19" s="154">
        <f t="shared" si="1"/>
        <v>-1.6</v>
      </c>
      <c r="O19" s="155">
        <f t="shared" si="2"/>
        <v>423.98499999999996</v>
      </c>
      <c r="P19" s="23">
        <v>-340.17899999999997</v>
      </c>
      <c r="Q19" s="23">
        <f>-2.21625-2216.25/1000</f>
        <v>-4.4325000000000001</v>
      </c>
      <c r="R19" s="23">
        <v>-1.44</v>
      </c>
      <c r="S19" s="158">
        <f t="shared" si="3"/>
        <v>-2.9925000000000002</v>
      </c>
      <c r="T19" s="158">
        <f t="shared" si="4"/>
        <v>-343.17149999999998</v>
      </c>
      <c r="U19" s="158">
        <f t="shared" si="5"/>
        <v>80.813499999999976</v>
      </c>
    </row>
    <row r="20" spans="1:21" s="20" customFormat="1" ht="24" customHeight="1" x14ac:dyDescent="0.25">
      <c r="A20" s="21" t="s">
        <v>1604</v>
      </c>
      <c r="B20" s="22" t="s">
        <v>878</v>
      </c>
      <c r="C20" s="23">
        <v>1629.278</v>
      </c>
      <c r="D20" s="23"/>
      <c r="E20" s="148"/>
      <c r="F20" s="148"/>
      <c r="G20" s="154">
        <f t="shared" si="6"/>
        <v>1629.278</v>
      </c>
      <c r="H20" s="23"/>
      <c r="I20" s="23">
        <v>-102.43</v>
      </c>
      <c r="J20" s="23"/>
      <c r="K20" s="23"/>
      <c r="L20" s="23"/>
      <c r="M20" s="23"/>
      <c r="N20" s="154">
        <f t="shared" si="1"/>
        <v>-102.43</v>
      </c>
      <c r="O20" s="155">
        <f t="shared" si="2"/>
        <v>1526.848</v>
      </c>
      <c r="P20" s="23">
        <v>-1200.67076</v>
      </c>
      <c r="Q20" s="23">
        <f>-56.95353-((966.15+51764.61+4222.77)/1000)</f>
        <v>-113.90706</v>
      </c>
      <c r="R20" s="23">
        <v>-92.186999999999998</v>
      </c>
      <c r="S20" s="158">
        <f t="shared" si="3"/>
        <v>-21.720060000000004</v>
      </c>
      <c r="T20" s="158">
        <f t="shared" si="4"/>
        <v>-1222.3908200000001</v>
      </c>
      <c r="U20" s="158">
        <f t="shared" si="5"/>
        <v>304.45717999999988</v>
      </c>
    </row>
    <row r="21" spans="1:21" s="20" customFormat="1" ht="24" customHeight="1" x14ac:dyDescent="0.25">
      <c r="A21" s="21" t="s">
        <v>1605</v>
      </c>
      <c r="B21" s="22" t="s">
        <v>879</v>
      </c>
      <c r="C21" s="23">
        <v>2054.0864999999999</v>
      </c>
      <c r="D21" s="23"/>
      <c r="E21" s="148"/>
      <c r="F21" s="148"/>
      <c r="G21" s="154">
        <f>+C21+D21+E21-F21</f>
        <v>2054.0864999999999</v>
      </c>
      <c r="H21" s="23"/>
      <c r="I21" s="23">
        <v>-18.984999999999999</v>
      </c>
      <c r="J21" s="23"/>
      <c r="K21" s="23"/>
      <c r="L21" s="23"/>
      <c r="M21" s="23"/>
      <c r="N21" s="154">
        <f t="shared" si="1"/>
        <v>-18.984999999999999</v>
      </c>
      <c r="O21" s="155">
        <f t="shared" si="2"/>
        <v>2035.1015</v>
      </c>
      <c r="P21" s="23">
        <v>-1114.81763</v>
      </c>
      <c r="Q21" s="23">
        <f>-19.13655-((13610.85+5525.7)/1000)</f>
        <v>-38.273099999999999</v>
      </c>
      <c r="R21" s="23">
        <v>-17.086500000000001</v>
      </c>
      <c r="S21" s="158">
        <f t="shared" si="3"/>
        <v>-21.186599999999999</v>
      </c>
      <c r="T21" s="158">
        <f t="shared" si="4"/>
        <v>-1136.00423</v>
      </c>
      <c r="U21" s="158">
        <f t="shared" si="5"/>
        <v>899.09726999999998</v>
      </c>
    </row>
    <row r="22" spans="1:21" s="20" customFormat="1" ht="24" customHeight="1" x14ac:dyDescent="0.25">
      <c r="A22" s="21" t="s">
        <v>1606</v>
      </c>
      <c r="B22" s="22" t="s">
        <v>880</v>
      </c>
      <c r="C22" s="23">
        <v>0</v>
      </c>
      <c r="D22" s="23"/>
      <c r="E22" s="148"/>
      <c r="F22" s="148"/>
      <c r="G22" s="154">
        <f>+C22+D22+E22-F22</f>
        <v>0</v>
      </c>
      <c r="H22" s="23"/>
      <c r="I22" s="23"/>
      <c r="J22" s="23"/>
      <c r="K22" s="23"/>
      <c r="L22" s="23"/>
      <c r="M22" s="23"/>
      <c r="N22" s="154">
        <f t="shared" si="1"/>
        <v>0</v>
      </c>
      <c r="O22" s="155">
        <f t="shared" si="2"/>
        <v>0</v>
      </c>
      <c r="P22" s="23">
        <v>0</v>
      </c>
      <c r="Q22" s="23">
        <v>0</v>
      </c>
      <c r="R22" s="23"/>
      <c r="S22" s="158">
        <f t="shared" si="3"/>
        <v>0</v>
      </c>
      <c r="T22" s="158">
        <f t="shared" si="4"/>
        <v>0</v>
      </c>
      <c r="U22" s="158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23">
        <v>2261.8049299999998</v>
      </c>
      <c r="D23" s="23"/>
      <c r="E23" s="148"/>
      <c r="F23" s="148"/>
      <c r="G23" s="154">
        <f>+C23+D23+E23-F23</f>
        <v>2261.8049299999998</v>
      </c>
      <c r="H23" s="23"/>
      <c r="I23" s="23">
        <v>-244.9</v>
      </c>
      <c r="J23" s="23"/>
      <c r="K23" s="23"/>
      <c r="L23" s="23"/>
      <c r="M23" s="23"/>
      <c r="N23" s="154">
        <f t="shared" si="1"/>
        <v>-244.9</v>
      </c>
      <c r="O23" s="155">
        <f t="shared" si="2"/>
        <v>2016.9049299999997</v>
      </c>
      <c r="P23" s="23">
        <v>-557.87609999999995</v>
      </c>
      <c r="Q23" s="23">
        <f>-48.35082-((22868.37+12305.37+11378.58)/1000)</f>
        <v>-94.903140000000008</v>
      </c>
      <c r="R23" s="23">
        <v>-201.52574999999999</v>
      </c>
      <c r="S23" s="158">
        <f t="shared" si="3"/>
        <v>106.62260999999998</v>
      </c>
      <c r="T23" s="158">
        <f t="shared" si="4"/>
        <v>-451.25348999999994</v>
      </c>
      <c r="U23" s="158">
        <f t="shared" si="5"/>
        <v>1565.6514399999996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7">
        <f t="shared" ref="E24:T24" si="7">SUM(E25:E29)</f>
        <v>0</v>
      </c>
      <c r="F24" s="147">
        <f t="shared" si="7"/>
        <v>0</v>
      </c>
      <c r="G24" s="147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7">
        <f t="shared" si="7"/>
        <v>0</v>
      </c>
      <c r="O24" s="147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7">
        <f t="shared" si="7"/>
        <v>0</v>
      </c>
      <c r="T24" s="147">
        <f t="shared" si="7"/>
        <v>0</v>
      </c>
      <c r="U24" s="147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8"/>
      <c r="F25" s="148"/>
      <c r="G25" s="154">
        <f>+C25+D25+E25-F25</f>
        <v>0</v>
      </c>
      <c r="H25" s="23"/>
      <c r="I25" s="23"/>
      <c r="J25" s="23"/>
      <c r="K25" s="23"/>
      <c r="L25" s="23"/>
      <c r="M25" s="23"/>
      <c r="N25" s="154">
        <f t="shared" si="1"/>
        <v>0</v>
      </c>
      <c r="O25" s="155">
        <f t="shared" si="2"/>
        <v>0</v>
      </c>
      <c r="P25" s="23"/>
      <c r="Q25" s="23"/>
      <c r="R25" s="23"/>
      <c r="S25" s="158">
        <f t="shared" si="3"/>
        <v>0</v>
      </c>
      <c r="T25" s="158">
        <f t="shared" si="4"/>
        <v>0</v>
      </c>
      <c r="U25" s="158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8"/>
      <c r="F26" s="148"/>
      <c r="G26" s="154">
        <f>+C26+D26+E26-F26</f>
        <v>0</v>
      </c>
      <c r="H26" s="23"/>
      <c r="I26" s="23"/>
      <c r="J26" s="23"/>
      <c r="K26" s="23"/>
      <c r="L26" s="23"/>
      <c r="M26" s="23"/>
      <c r="N26" s="154">
        <f t="shared" si="1"/>
        <v>0</v>
      </c>
      <c r="O26" s="155">
        <f t="shared" si="2"/>
        <v>0</v>
      </c>
      <c r="P26" s="23"/>
      <c r="Q26" s="23"/>
      <c r="R26" s="23"/>
      <c r="S26" s="158">
        <f t="shared" si="3"/>
        <v>0</v>
      </c>
      <c r="T26" s="158">
        <f t="shared" si="4"/>
        <v>0</v>
      </c>
      <c r="U26" s="158">
        <f t="shared" si="5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8"/>
      <c r="F27" s="148"/>
      <c r="G27" s="154"/>
      <c r="H27" s="23"/>
      <c r="I27" s="23"/>
      <c r="J27" s="23"/>
      <c r="K27" s="23"/>
      <c r="L27" s="23"/>
      <c r="M27" s="23"/>
      <c r="N27" s="154">
        <f t="shared" si="1"/>
        <v>0</v>
      </c>
      <c r="O27" s="155"/>
      <c r="P27" s="23"/>
      <c r="Q27" s="23"/>
      <c r="R27" s="23"/>
      <c r="S27" s="158">
        <f t="shared" si="3"/>
        <v>0</v>
      </c>
      <c r="T27" s="158">
        <f t="shared" si="4"/>
        <v>0</v>
      </c>
      <c r="U27" s="158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8"/>
      <c r="F28" s="148"/>
      <c r="G28" s="154">
        <f>+C28+D28+E28-F28</f>
        <v>0</v>
      </c>
      <c r="H28" s="23"/>
      <c r="I28" s="23"/>
      <c r="J28" s="23"/>
      <c r="K28" s="23"/>
      <c r="L28" s="23"/>
      <c r="M28" s="23"/>
      <c r="N28" s="154">
        <f t="shared" si="1"/>
        <v>0</v>
      </c>
      <c r="O28" s="155">
        <f t="shared" si="2"/>
        <v>0</v>
      </c>
      <c r="P28" s="23"/>
      <c r="Q28" s="23"/>
      <c r="R28" s="23"/>
      <c r="S28" s="158">
        <f t="shared" si="3"/>
        <v>0</v>
      </c>
      <c r="T28" s="158">
        <f t="shared" si="4"/>
        <v>0</v>
      </c>
      <c r="U28" s="158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8"/>
      <c r="F29" s="148"/>
      <c r="G29" s="154">
        <f>+C29+D29+E29-F29</f>
        <v>0</v>
      </c>
      <c r="H29" s="23"/>
      <c r="I29" s="23"/>
      <c r="J29" s="23"/>
      <c r="K29" s="23"/>
      <c r="L29" s="23"/>
      <c r="M29" s="23"/>
      <c r="N29" s="154">
        <f t="shared" si="1"/>
        <v>0</v>
      </c>
      <c r="O29" s="155">
        <f t="shared" si="2"/>
        <v>0</v>
      </c>
      <c r="P29" s="23"/>
      <c r="Q29" s="23"/>
      <c r="R29" s="23"/>
      <c r="S29" s="158">
        <f t="shared" si="3"/>
        <v>0</v>
      </c>
      <c r="T29" s="158">
        <f t="shared" si="4"/>
        <v>0</v>
      </c>
      <c r="U29" s="158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7">
        <f t="shared" ref="E30:T30" si="8">SUM(E31:E34)</f>
        <v>0</v>
      </c>
      <c r="F30" s="147">
        <f t="shared" si="8"/>
        <v>0</v>
      </c>
      <c r="G30" s="147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7">
        <f t="shared" si="8"/>
        <v>0</v>
      </c>
      <c r="O30" s="147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7">
        <f>SUM(S31:S34)</f>
        <v>0</v>
      </c>
      <c r="T30" s="147">
        <f t="shared" si="8"/>
        <v>0</v>
      </c>
      <c r="U30" s="147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8"/>
      <c r="F31" s="148"/>
      <c r="G31" s="154">
        <f>+C31+D31+E31-F31</f>
        <v>0</v>
      </c>
      <c r="H31" s="23"/>
      <c r="I31" s="23"/>
      <c r="J31" s="23"/>
      <c r="K31" s="23"/>
      <c r="L31" s="23"/>
      <c r="M31" s="23"/>
      <c r="N31" s="154">
        <f t="shared" si="1"/>
        <v>0</v>
      </c>
      <c r="O31" s="155">
        <f t="shared" si="2"/>
        <v>0</v>
      </c>
      <c r="P31" s="23"/>
      <c r="Q31" s="23"/>
      <c r="R31" s="23"/>
      <c r="S31" s="158">
        <f t="shared" si="3"/>
        <v>0</v>
      </c>
      <c r="T31" s="158">
        <f t="shared" si="4"/>
        <v>0</v>
      </c>
      <c r="U31" s="158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8"/>
      <c r="F32" s="148"/>
      <c r="G32" s="154">
        <f>+C32+D32+E32-F32</f>
        <v>0</v>
      </c>
      <c r="H32" s="23"/>
      <c r="I32" s="23"/>
      <c r="J32" s="23"/>
      <c r="K32" s="23"/>
      <c r="L32" s="23"/>
      <c r="M32" s="23"/>
      <c r="N32" s="154">
        <f t="shared" si="1"/>
        <v>0</v>
      </c>
      <c r="O32" s="155">
        <f t="shared" si="2"/>
        <v>0</v>
      </c>
      <c r="P32" s="23"/>
      <c r="Q32" s="23"/>
      <c r="R32" s="23"/>
      <c r="S32" s="158">
        <f t="shared" si="3"/>
        <v>0</v>
      </c>
      <c r="T32" s="158">
        <f t="shared" si="4"/>
        <v>0</v>
      </c>
      <c r="U32" s="158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8"/>
      <c r="F33" s="148"/>
      <c r="G33" s="154">
        <f>+C33+D33+E33-F33</f>
        <v>0</v>
      </c>
      <c r="H33" s="23"/>
      <c r="I33" s="23"/>
      <c r="J33" s="23"/>
      <c r="K33" s="23"/>
      <c r="L33" s="23"/>
      <c r="M33" s="23"/>
      <c r="N33" s="154">
        <f t="shared" si="1"/>
        <v>0</v>
      </c>
      <c r="O33" s="155">
        <f t="shared" si="2"/>
        <v>0</v>
      </c>
      <c r="P33" s="23"/>
      <c r="Q33" s="23"/>
      <c r="R33" s="23"/>
      <c r="S33" s="158">
        <f t="shared" si="3"/>
        <v>0</v>
      </c>
      <c r="T33" s="158">
        <f t="shared" si="4"/>
        <v>0</v>
      </c>
      <c r="U33" s="158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8"/>
      <c r="F34" s="148"/>
      <c r="G34" s="154">
        <f>+C34+D34+E34-F34</f>
        <v>0</v>
      </c>
      <c r="H34" s="23"/>
      <c r="I34" s="23"/>
      <c r="J34" s="23"/>
      <c r="K34" s="23"/>
      <c r="L34" s="23"/>
      <c r="M34" s="23"/>
      <c r="N34" s="154">
        <f t="shared" si="1"/>
        <v>0</v>
      </c>
      <c r="O34" s="155">
        <f t="shared" si="2"/>
        <v>0</v>
      </c>
      <c r="P34" s="23"/>
      <c r="Q34" s="23"/>
      <c r="R34" s="23"/>
      <c r="S34" s="158">
        <f t="shared" si="3"/>
        <v>0</v>
      </c>
      <c r="T34" s="158">
        <f t="shared" si="4"/>
        <v>0</v>
      </c>
      <c r="U34" s="158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7">
        <f t="shared" ref="E35:T35" si="9">SUM(E36:E38)</f>
        <v>0</v>
      </c>
      <c r="F35" s="147">
        <f t="shared" si="9"/>
        <v>0</v>
      </c>
      <c r="G35" s="147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7">
        <f t="shared" si="9"/>
        <v>0</v>
      </c>
      <c r="O35" s="147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7">
        <f t="shared" si="9"/>
        <v>0</v>
      </c>
      <c r="T35" s="147">
        <f t="shared" si="9"/>
        <v>0</v>
      </c>
      <c r="U35" s="147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8"/>
      <c r="F36" s="148"/>
      <c r="G36" s="154">
        <f>+C36+D36+E36-F36</f>
        <v>0</v>
      </c>
      <c r="H36" s="23"/>
      <c r="I36" s="23"/>
      <c r="J36" s="23"/>
      <c r="K36" s="23"/>
      <c r="L36" s="23"/>
      <c r="M36" s="23"/>
      <c r="N36" s="154">
        <f t="shared" si="1"/>
        <v>0</v>
      </c>
      <c r="O36" s="155">
        <f t="shared" si="2"/>
        <v>0</v>
      </c>
      <c r="P36" s="23"/>
      <c r="Q36" s="23"/>
      <c r="R36" s="23"/>
      <c r="S36" s="158">
        <f t="shared" si="3"/>
        <v>0</v>
      </c>
      <c r="T36" s="158">
        <f t="shared" si="4"/>
        <v>0</v>
      </c>
      <c r="U36" s="158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8"/>
      <c r="F37" s="148"/>
      <c r="G37" s="154">
        <f>+C37+D37+E37-F37</f>
        <v>0</v>
      </c>
      <c r="H37" s="23"/>
      <c r="I37" s="23"/>
      <c r="J37" s="23"/>
      <c r="K37" s="23"/>
      <c r="L37" s="23"/>
      <c r="M37" s="23"/>
      <c r="N37" s="154">
        <f t="shared" si="1"/>
        <v>0</v>
      </c>
      <c r="O37" s="155">
        <f t="shared" si="2"/>
        <v>0</v>
      </c>
      <c r="P37" s="23"/>
      <c r="Q37" s="23"/>
      <c r="R37" s="23"/>
      <c r="S37" s="158">
        <f t="shared" si="3"/>
        <v>0</v>
      </c>
      <c r="T37" s="158">
        <f t="shared" si="4"/>
        <v>0</v>
      </c>
      <c r="U37" s="158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8"/>
      <c r="F38" s="148"/>
      <c r="G38" s="154">
        <f>+C38+D38+E38-F38</f>
        <v>0</v>
      </c>
      <c r="H38" s="23"/>
      <c r="I38" s="23"/>
      <c r="J38" s="23"/>
      <c r="K38" s="23"/>
      <c r="L38" s="23"/>
      <c r="M38" s="23"/>
      <c r="N38" s="154">
        <f t="shared" si="1"/>
        <v>0</v>
      </c>
      <c r="O38" s="155">
        <f t="shared" si="2"/>
        <v>0</v>
      </c>
      <c r="P38" s="23"/>
      <c r="Q38" s="23"/>
      <c r="R38" s="23"/>
      <c r="S38" s="158">
        <f t="shared" si="3"/>
        <v>0</v>
      </c>
      <c r="T38" s="158">
        <f t="shared" si="4"/>
        <v>0</v>
      </c>
      <c r="U38" s="158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7">
        <f t="shared" ref="E39:U39" si="10">SUM(E40:E41)</f>
        <v>0</v>
      </c>
      <c r="F39" s="147">
        <f t="shared" si="10"/>
        <v>0</v>
      </c>
      <c r="G39" s="147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7">
        <f t="shared" si="10"/>
        <v>0</v>
      </c>
      <c r="O39" s="147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7">
        <f t="shared" si="10"/>
        <v>0</v>
      </c>
      <c r="T39" s="147">
        <f t="shared" si="10"/>
        <v>0</v>
      </c>
      <c r="U39" s="147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8"/>
      <c r="F40" s="148"/>
      <c r="G40" s="154">
        <f>+C40+D40+E40-F40</f>
        <v>0</v>
      </c>
      <c r="H40" s="23"/>
      <c r="I40" s="23"/>
      <c r="J40" s="23"/>
      <c r="K40" s="23"/>
      <c r="L40" s="23"/>
      <c r="M40" s="23"/>
      <c r="N40" s="154">
        <f t="shared" si="1"/>
        <v>0</v>
      </c>
      <c r="O40" s="155">
        <f t="shared" si="2"/>
        <v>0</v>
      </c>
      <c r="P40" s="23"/>
      <c r="Q40" s="23"/>
      <c r="R40" s="23"/>
      <c r="S40" s="158">
        <f t="shared" si="3"/>
        <v>0</v>
      </c>
      <c r="T40" s="158">
        <f t="shared" si="4"/>
        <v>0</v>
      </c>
      <c r="U40" s="158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8"/>
      <c r="F41" s="148"/>
      <c r="G41" s="154">
        <f>+C41+D41+E41-F41</f>
        <v>0</v>
      </c>
      <c r="H41" s="23"/>
      <c r="I41" s="23"/>
      <c r="J41" s="23"/>
      <c r="K41" s="23"/>
      <c r="L41" s="23"/>
      <c r="M41" s="23"/>
      <c r="N41" s="154">
        <f t="shared" si="1"/>
        <v>0</v>
      </c>
      <c r="O41" s="155">
        <f t="shared" si="2"/>
        <v>0</v>
      </c>
      <c r="P41" s="23"/>
      <c r="Q41" s="23"/>
      <c r="R41" s="23"/>
      <c r="S41" s="158">
        <f t="shared" si="3"/>
        <v>0</v>
      </c>
      <c r="T41" s="158">
        <f t="shared" si="4"/>
        <v>0</v>
      </c>
      <c r="U41" s="158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7">
        <f t="shared" ref="E42:U42" si="11">SUM(E43:E44)</f>
        <v>0</v>
      </c>
      <c r="F42" s="147">
        <f t="shared" si="11"/>
        <v>0</v>
      </c>
      <c r="G42" s="147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7">
        <f t="shared" si="11"/>
        <v>0</v>
      </c>
      <c r="O42" s="147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7">
        <f t="shared" si="11"/>
        <v>0</v>
      </c>
      <c r="T42" s="147">
        <f t="shared" si="11"/>
        <v>0</v>
      </c>
      <c r="U42" s="147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8"/>
      <c r="F43" s="148"/>
      <c r="G43" s="154">
        <f t="shared" si="6"/>
        <v>0</v>
      </c>
      <c r="H43" s="23"/>
      <c r="I43" s="23"/>
      <c r="J43" s="23"/>
      <c r="K43" s="23"/>
      <c r="L43" s="23"/>
      <c r="M43" s="23"/>
      <c r="N43" s="154">
        <f t="shared" si="1"/>
        <v>0</v>
      </c>
      <c r="O43" s="155">
        <f t="shared" si="2"/>
        <v>0</v>
      </c>
      <c r="P43" s="23"/>
      <c r="Q43" s="23"/>
      <c r="R43" s="23"/>
      <c r="S43" s="158">
        <f t="shared" ref="S43:S44" si="12">+P43+Q43-R43</f>
        <v>0</v>
      </c>
      <c r="T43" s="158">
        <f t="shared" si="4"/>
        <v>0</v>
      </c>
      <c r="U43" s="158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8"/>
      <c r="F44" s="148"/>
      <c r="G44" s="154">
        <f t="shared" si="6"/>
        <v>0</v>
      </c>
      <c r="H44" s="23"/>
      <c r="I44" s="23"/>
      <c r="J44" s="23"/>
      <c r="K44" s="23"/>
      <c r="L44" s="23"/>
      <c r="M44" s="23"/>
      <c r="N44" s="154">
        <f t="shared" si="1"/>
        <v>0</v>
      </c>
      <c r="O44" s="155">
        <f t="shared" si="2"/>
        <v>0</v>
      </c>
      <c r="P44" s="23"/>
      <c r="Q44" s="23"/>
      <c r="R44" s="23"/>
      <c r="S44" s="158">
        <f t="shared" si="12"/>
        <v>0</v>
      </c>
      <c r="T44" s="158">
        <f t="shared" si="4"/>
        <v>0</v>
      </c>
      <c r="U44" s="158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56766.446260000004</v>
      </c>
      <c r="D45" s="18">
        <f>SUM(D46:D49)</f>
        <v>0</v>
      </c>
      <c r="E45" s="147">
        <f t="shared" ref="E45:U45" si="13">SUM(E46:E49)</f>
        <v>0</v>
      </c>
      <c r="F45" s="147">
        <f t="shared" si="13"/>
        <v>0</v>
      </c>
      <c r="G45" s="147">
        <f t="shared" si="13"/>
        <v>56766.446260000004</v>
      </c>
      <c r="H45" s="18">
        <f t="shared" si="13"/>
        <v>709.18727999999999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7">
        <f t="shared" si="13"/>
        <v>709.18727999999999</v>
      </c>
      <c r="O45" s="147">
        <f t="shared" si="13"/>
        <v>57475.633540000003</v>
      </c>
      <c r="P45" s="18">
        <f t="shared" si="13"/>
        <v>-11401.1788</v>
      </c>
      <c r="Q45" s="18">
        <f t="shared" si="13"/>
        <v>-7742.6535199999998</v>
      </c>
      <c r="R45" s="18">
        <f t="shared" si="13"/>
        <v>0</v>
      </c>
      <c r="S45" s="147">
        <f t="shared" si="13"/>
        <v>-7742.6535199999998</v>
      </c>
      <c r="T45" s="147">
        <f t="shared" si="13"/>
        <v>-19143.832320000001</v>
      </c>
      <c r="U45" s="147">
        <f t="shared" si="13"/>
        <v>38331.801220000001</v>
      </c>
    </row>
    <row r="46" spans="1:21" s="20" customFormat="1" ht="24" customHeight="1" x14ac:dyDescent="0.25">
      <c r="A46" s="21" t="s">
        <v>1632</v>
      </c>
      <c r="B46" s="22" t="s">
        <v>894</v>
      </c>
      <c r="C46" s="23"/>
      <c r="D46" s="23"/>
      <c r="E46" s="148"/>
      <c r="F46" s="148"/>
      <c r="G46" s="154">
        <f>+C46+D46+E46-F46</f>
        <v>0</v>
      </c>
      <c r="H46" s="23"/>
      <c r="I46" s="23"/>
      <c r="J46" s="23"/>
      <c r="K46" s="23"/>
      <c r="L46" s="23"/>
      <c r="M46" s="23"/>
      <c r="N46" s="154">
        <f t="shared" si="1"/>
        <v>0</v>
      </c>
      <c r="O46" s="155">
        <f t="shared" si="2"/>
        <v>0</v>
      </c>
      <c r="P46" s="23"/>
      <c r="Q46" s="23"/>
      <c r="R46" s="23"/>
      <c r="S46" s="158">
        <f t="shared" ref="S46:S54" si="14">+Q46-R46</f>
        <v>0</v>
      </c>
      <c r="T46" s="158">
        <f t="shared" si="4"/>
        <v>0</v>
      </c>
      <c r="U46" s="158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23"/>
      <c r="D47" s="23"/>
      <c r="E47" s="148"/>
      <c r="F47" s="148"/>
      <c r="G47" s="154">
        <f>+C47+D47+E47-F47</f>
        <v>0</v>
      </c>
      <c r="H47" s="23"/>
      <c r="I47" s="23"/>
      <c r="J47" s="23"/>
      <c r="K47" s="23"/>
      <c r="L47" s="23"/>
      <c r="M47" s="23"/>
      <c r="N47" s="154">
        <f t="shared" si="1"/>
        <v>0</v>
      </c>
      <c r="O47" s="155">
        <f t="shared" si="2"/>
        <v>0</v>
      </c>
      <c r="P47" s="23"/>
      <c r="Q47" s="23"/>
      <c r="R47" s="23"/>
      <c r="S47" s="158">
        <f t="shared" si="14"/>
        <v>0</v>
      </c>
      <c r="T47" s="158">
        <f t="shared" si="4"/>
        <v>0</v>
      </c>
      <c r="U47" s="158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23">
        <v>56383.293260000006</v>
      </c>
      <c r="D48" s="23"/>
      <c r="E48" s="148"/>
      <c r="F48" s="148"/>
      <c r="G48" s="154">
        <f>+C48+D48+E48-F48</f>
        <v>56383.293260000006</v>
      </c>
      <c r="H48" s="23">
        <f>709187.28/1000</f>
        <v>709.18727999999999</v>
      </c>
      <c r="I48" s="23"/>
      <c r="J48" s="23"/>
      <c r="K48" s="23"/>
      <c r="L48" s="23"/>
      <c r="M48" s="23"/>
      <c r="N48" s="154">
        <f t="shared" si="1"/>
        <v>709.18727999999999</v>
      </c>
      <c r="O48" s="155">
        <f t="shared" si="2"/>
        <v>57092.480540000004</v>
      </c>
      <c r="P48" s="23">
        <v>-11401.1788</v>
      </c>
      <c r="Q48" s="23">
        <f>-3868.00466-3874648.86/1000</f>
        <v>-7742.6535199999998</v>
      </c>
      <c r="R48" s="23"/>
      <c r="S48" s="158">
        <f t="shared" si="14"/>
        <v>-7742.6535199999998</v>
      </c>
      <c r="T48" s="158">
        <f t="shared" si="4"/>
        <v>-19143.832320000001</v>
      </c>
      <c r="U48" s="158">
        <f t="shared" si="5"/>
        <v>37948.648220000003</v>
      </c>
    </row>
    <row r="49" spans="1:24" ht="24" customHeight="1" x14ac:dyDescent="0.25">
      <c r="A49" s="21" t="s">
        <v>1635</v>
      </c>
      <c r="B49" s="22" t="s">
        <v>897</v>
      </c>
      <c r="C49" s="23">
        <v>383.15300000000002</v>
      </c>
      <c r="D49" s="23"/>
      <c r="E49" s="148"/>
      <c r="F49" s="148"/>
      <c r="G49" s="154">
        <f>+C49+D49+E49-F49</f>
        <v>383.15300000000002</v>
      </c>
      <c r="H49" s="23"/>
      <c r="I49" s="23"/>
      <c r="J49" s="23"/>
      <c r="K49" s="23"/>
      <c r="L49" s="23"/>
      <c r="M49" s="23"/>
      <c r="N49" s="154">
        <f t="shared" si="1"/>
        <v>0</v>
      </c>
      <c r="O49" s="155">
        <f t="shared" si="2"/>
        <v>383.15300000000002</v>
      </c>
      <c r="P49" s="23"/>
      <c r="Q49" s="23"/>
      <c r="R49" s="23"/>
      <c r="S49" s="158">
        <f t="shared" si="14"/>
        <v>0</v>
      </c>
      <c r="T49" s="158">
        <f t="shared" si="4"/>
        <v>0</v>
      </c>
      <c r="U49" s="158">
        <f t="shared" si="5"/>
        <v>383.15300000000002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7">
        <f t="shared" ref="E50:T50" si="15">SUM(E51:E54)</f>
        <v>0</v>
      </c>
      <c r="F50" s="147">
        <f t="shared" si="15"/>
        <v>0</v>
      </c>
      <c r="G50" s="147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7">
        <f t="shared" si="15"/>
        <v>0</v>
      </c>
      <c r="O50" s="147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7">
        <f t="shared" si="15"/>
        <v>0</v>
      </c>
      <c r="T50" s="147">
        <f t="shared" si="15"/>
        <v>0</v>
      </c>
      <c r="U50" s="147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8"/>
      <c r="F51" s="148"/>
      <c r="G51" s="154">
        <f t="shared" si="6"/>
        <v>0</v>
      </c>
      <c r="H51" s="23"/>
      <c r="I51" s="23"/>
      <c r="J51" s="23"/>
      <c r="K51" s="23"/>
      <c r="L51" s="23"/>
      <c r="M51" s="23"/>
      <c r="N51" s="154">
        <f t="shared" si="1"/>
        <v>0</v>
      </c>
      <c r="O51" s="155">
        <f t="shared" si="2"/>
        <v>0</v>
      </c>
      <c r="P51" s="23"/>
      <c r="Q51" s="23"/>
      <c r="R51" s="23"/>
      <c r="S51" s="158">
        <f t="shared" si="14"/>
        <v>0</v>
      </c>
      <c r="T51" s="158">
        <f t="shared" si="4"/>
        <v>0</v>
      </c>
      <c r="U51" s="158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8"/>
      <c r="F52" s="148"/>
      <c r="G52" s="154">
        <f t="shared" si="6"/>
        <v>0</v>
      </c>
      <c r="H52" s="23"/>
      <c r="I52" s="23"/>
      <c r="J52" s="23"/>
      <c r="K52" s="23"/>
      <c r="L52" s="23"/>
      <c r="M52" s="23"/>
      <c r="N52" s="154">
        <f t="shared" si="1"/>
        <v>0</v>
      </c>
      <c r="O52" s="155">
        <f t="shared" si="2"/>
        <v>0</v>
      </c>
      <c r="P52" s="23"/>
      <c r="Q52" s="23"/>
      <c r="R52" s="23"/>
      <c r="S52" s="158">
        <f t="shared" si="14"/>
        <v>0</v>
      </c>
      <c r="T52" s="158">
        <f t="shared" si="4"/>
        <v>0</v>
      </c>
      <c r="U52" s="158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8"/>
      <c r="F53" s="148"/>
      <c r="G53" s="154">
        <f t="shared" si="6"/>
        <v>0</v>
      </c>
      <c r="H53" s="23"/>
      <c r="I53" s="23"/>
      <c r="J53" s="23"/>
      <c r="K53" s="23"/>
      <c r="L53" s="23"/>
      <c r="M53" s="23"/>
      <c r="N53" s="154">
        <f t="shared" si="1"/>
        <v>0</v>
      </c>
      <c r="O53" s="155">
        <f t="shared" si="2"/>
        <v>0</v>
      </c>
      <c r="P53" s="23"/>
      <c r="Q53" s="23"/>
      <c r="R53" s="23"/>
      <c r="S53" s="158">
        <f t="shared" si="14"/>
        <v>0</v>
      </c>
      <c r="T53" s="158">
        <f t="shared" si="4"/>
        <v>0</v>
      </c>
      <c r="U53" s="158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8"/>
      <c r="F54" s="148"/>
      <c r="G54" s="154">
        <f t="shared" si="6"/>
        <v>0</v>
      </c>
      <c r="H54" s="23"/>
      <c r="I54" s="23"/>
      <c r="J54" s="23"/>
      <c r="K54" s="23"/>
      <c r="L54" s="23"/>
      <c r="M54" s="23"/>
      <c r="N54" s="154">
        <f t="shared" si="1"/>
        <v>0</v>
      </c>
      <c r="O54" s="155">
        <f t="shared" si="2"/>
        <v>0</v>
      </c>
      <c r="P54" s="23"/>
      <c r="Q54" s="23"/>
      <c r="R54" s="23"/>
      <c r="S54" s="158">
        <f t="shared" si="14"/>
        <v>0</v>
      </c>
      <c r="T54" s="158">
        <f t="shared" si="4"/>
        <v>0</v>
      </c>
      <c r="U54" s="158">
        <f t="shared" si="5"/>
        <v>0</v>
      </c>
    </row>
    <row r="55" spans="1:24" s="4" customFormat="1" ht="24" customHeight="1" x14ac:dyDescent="0.25">
      <c r="A55" s="168" t="s">
        <v>901</v>
      </c>
      <c r="B55" s="168"/>
      <c r="C55" s="27">
        <f t="shared" ref="C55:U55" si="16">C11+C24+C30+C35+C39+C42+C45+C50</f>
        <v>1663218.1313699998</v>
      </c>
      <c r="D55" s="27">
        <f t="shared" si="16"/>
        <v>0</v>
      </c>
      <c r="E55" s="149">
        <f t="shared" si="16"/>
        <v>478567.85012999998</v>
      </c>
      <c r="F55" s="149">
        <f t="shared" si="16"/>
        <v>113937.57166000002</v>
      </c>
      <c r="G55" s="149">
        <f t="shared" si="16"/>
        <v>2027848.4098399999</v>
      </c>
      <c r="H55" s="27">
        <f t="shared" si="16"/>
        <v>709.18727999999999</v>
      </c>
      <c r="I55" s="27">
        <f t="shared" si="16"/>
        <v>-17521.830000000002</v>
      </c>
      <c r="J55" s="27">
        <f t="shared" si="16"/>
        <v>0</v>
      </c>
      <c r="K55" s="27">
        <f t="shared" si="16"/>
        <v>0</v>
      </c>
      <c r="L55" s="27">
        <f t="shared" si="16"/>
        <v>0</v>
      </c>
      <c r="M55" s="27">
        <f t="shared" si="16"/>
        <v>0</v>
      </c>
      <c r="N55" s="149">
        <f t="shared" si="16"/>
        <v>-16812.642720000003</v>
      </c>
      <c r="O55" s="149">
        <f t="shared" si="16"/>
        <v>2011035.7671200002</v>
      </c>
      <c r="P55" s="27">
        <f t="shared" si="16"/>
        <v>-349379.89059999998</v>
      </c>
      <c r="Q55" s="27">
        <f t="shared" si="16"/>
        <v>-31925.845739999997</v>
      </c>
      <c r="R55" s="27">
        <f t="shared" si="16"/>
        <v>-15343.570900000001</v>
      </c>
      <c r="S55" s="149">
        <f t="shared" si="16"/>
        <v>-16582.274839999998</v>
      </c>
      <c r="T55" s="149">
        <f t="shared" si="16"/>
        <v>-365962.16543999995</v>
      </c>
      <c r="U55" s="149">
        <f t="shared" si="16"/>
        <v>1645073.6016799998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6"/>
      <c r="F56" s="146"/>
      <c r="G56" s="146"/>
      <c r="H56" s="13"/>
      <c r="I56" s="13"/>
      <c r="J56" s="13"/>
      <c r="K56" s="13"/>
      <c r="L56" s="13"/>
      <c r="M56" s="13"/>
      <c r="N56" s="146"/>
      <c r="O56" s="146"/>
      <c r="P56" s="13"/>
      <c r="Q56" s="13"/>
      <c r="R56" s="13"/>
      <c r="S56" s="146"/>
      <c r="T56" s="146"/>
      <c r="U56" s="157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7">
        <f t="shared" si="17"/>
        <v>0</v>
      </c>
      <c r="F57" s="147">
        <f t="shared" si="17"/>
        <v>0</v>
      </c>
      <c r="G57" s="147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7">
        <f t="shared" si="17"/>
        <v>0</v>
      </c>
      <c r="O57" s="147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7">
        <f t="shared" si="17"/>
        <v>0</v>
      </c>
      <c r="T57" s="147">
        <f t="shared" si="17"/>
        <v>0</v>
      </c>
      <c r="U57" s="147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8"/>
      <c r="F58" s="148"/>
      <c r="G58" s="154">
        <f t="shared" ref="G58:G90" si="18">+C58+D58+E58-F58</f>
        <v>0</v>
      </c>
      <c r="H58" s="23"/>
      <c r="I58" s="23"/>
      <c r="J58" s="23"/>
      <c r="K58" s="23"/>
      <c r="L58" s="23"/>
      <c r="M58" s="23"/>
      <c r="N58" s="154"/>
      <c r="O58" s="155">
        <f t="shared" ref="O58:O90" si="19">+G58+N58</f>
        <v>0</v>
      </c>
      <c r="P58" s="23"/>
      <c r="Q58" s="23"/>
      <c r="R58" s="23"/>
      <c r="S58" s="158">
        <f t="shared" ref="S58:S77" si="20">+Q58-R58</f>
        <v>0</v>
      </c>
      <c r="T58" s="158">
        <f t="shared" ref="T58:T90" si="21">+P58+S58</f>
        <v>0</v>
      </c>
      <c r="U58" s="158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8"/>
      <c r="F59" s="148"/>
      <c r="G59" s="154">
        <f t="shared" si="18"/>
        <v>0</v>
      </c>
      <c r="H59" s="23"/>
      <c r="I59" s="23"/>
      <c r="J59" s="23"/>
      <c r="K59" s="23"/>
      <c r="L59" s="23"/>
      <c r="M59" s="23"/>
      <c r="N59" s="154"/>
      <c r="O59" s="155">
        <f t="shared" si="19"/>
        <v>0</v>
      </c>
      <c r="P59" s="23"/>
      <c r="Q59" s="23"/>
      <c r="R59" s="23"/>
      <c r="S59" s="158">
        <f t="shared" si="20"/>
        <v>0</v>
      </c>
      <c r="T59" s="158">
        <f t="shared" si="21"/>
        <v>0</v>
      </c>
      <c r="U59" s="158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8"/>
      <c r="F60" s="148"/>
      <c r="G60" s="154">
        <f t="shared" si="18"/>
        <v>0</v>
      </c>
      <c r="H60" s="23"/>
      <c r="I60" s="23"/>
      <c r="J60" s="23"/>
      <c r="K60" s="23"/>
      <c r="L60" s="23"/>
      <c r="M60" s="23"/>
      <c r="N60" s="154"/>
      <c r="O60" s="155">
        <f t="shared" si="19"/>
        <v>0</v>
      </c>
      <c r="P60" s="23"/>
      <c r="Q60" s="23"/>
      <c r="R60" s="23"/>
      <c r="S60" s="158">
        <f t="shared" si="20"/>
        <v>0</v>
      </c>
      <c r="T60" s="158">
        <f t="shared" si="21"/>
        <v>0</v>
      </c>
      <c r="U60" s="158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8"/>
      <c r="F61" s="148"/>
      <c r="G61" s="154">
        <f t="shared" si="18"/>
        <v>0</v>
      </c>
      <c r="H61" s="23"/>
      <c r="I61" s="23"/>
      <c r="J61" s="23"/>
      <c r="K61" s="23"/>
      <c r="L61" s="23"/>
      <c r="M61" s="23"/>
      <c r="N61" s="154"/>
      <c r="O61" s="155">
        <f t="shared" si="19"/>
        <v>0</v>
      </c>
      <c r="P61" s="23"/>
      <c r="Q61" s="23"/>
      <c r="R61" s="23"/>
      <c r="S61" s="158">
        <f t="shared" si="20"/>
        <v>0</v>
      </c>
      <c r="T61" s="158">
        <f t="shared" si="21"/>
        <v>0</v>
      </c>
      <c r="U61" s="158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8"/>
      <c r="F62" s="148"/>
      <c r="G62" s="154">
        <f t="shared" si="18"/>
        <v>0</v>
      </c>
      <c r="H62" s="23"/>
      <c r="I62" s="23"/>
      <c r="J62" s="23"/>
      <c r="K62" s="23"/>
      <c r="L62" s="23"/>
      <c r="M62" s="23"/>
      <c r="N62" s="154"/>
      <c r="O62" s="155">
        <f t="shared" si="19"/>
        <v>0</v>
      </c>
      <c r="P62" s="23"/>
      <c r="Q62" s="23"/>
      <c r="R62" s="23"/>
      <c r="S62" s="158">
        <f t="shared" si="20"/>
        <v>0</v>
      </c>
      <c r="T62" s="158">
        <f t="shared" si="21"/>
        <v>0</v>
      </c>
      <c r="U62" s="158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8"/>
      <c r="F63" s="148"/>
      <c r="G63" s="154">
        <f t="shared" si="18"/>
        <v>0</v>
      </c>
      <c r="H63" s="23"/>
      <c r="I63" s="23"/>
      <c r="J63" s="23"/>
      <c r="K63" s="23"/>
      <c r="L63" s="23"/>
      <c r="M63" s="23"/>
      <c r="N63" s="154"/>
      <c r="O63" s="155">
        <f t="shared" si="19"/>
        <v>0</v>
      </c>
      <c r="P63" s="23"/>
      <c r="Q63" s="23"/>
      <c r="R63" s="23"/>
      <c r="S63" s="158">
        <f t="shared" si="20"/>
        <v>0</v>
      </c>
      <c r="T63" s="158">
        <f t="shared" si="21"/>
        <v>0</v>
      </c>
      <c r="U63" s="158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8"/>
      <c r="F64" s="148"/>
      <c r="G64" s="154">
        <f t="shared" si="18"/>
        <v>0</v>
      </c>
      <c r="H64" s="23"/>
      <c r="I64" s="23"/>
      <c r="J64" s="23"/>
      <c r="K64" s="23"/>
      <c r="L64" s="23"/>
      <c r="M64" s="23"/>
      <c r="N64" s="154"/>
      <c r="O64" s="155">
        <f t="shared" si="19"/>
        <v>0</v>
      </c>
      <c r="P64" s="23"/>
      <c r="Q64" s="23"/>
      <c r="R64" s="23"/>
      <c r="S64" s="158">
        <f t="shared" si="20"/>
        <v>0</v>
      </c>
      <c r="T64" s="158">
        <f t="shared" si="21"/>
        <v>0</v>
      </c>
      <c r="U64" s="158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8"/>
      <c r="F65" s="148"/>
      <c r="G65" s="154">
        <f t="shared" si="18"/>
        <v>0</v>
      </c>
      <c r="H65" s="23"/>
      <c r="I65" s="23"/>
      <c r="J65" s="23"/>
      <c r="K65" s="23"/>
      <c r="L65" s="23"/>
      <c r="M65" s="23"/>
      <c r="N65" s="154"/>
      <c r="O65" s="155">
        <f t="shared" si="19"/>
        <v>0</v>
      </c>
      <c r="P65" s="23"/>
      <c r="Q65" s="23"/>
      <c r="R65" s="23"/>
      <c r="S65" s="158">
        <f t="shared" si="20"/>
        <v>0</v>
      </c>
      <c r="T65" s="158">
        <f t="shared" si="21"/>
        <v>0</v>
      </c>
      <c r="U65" s="158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8"/>
      <c r="F66" s="148"/>
      <c r="G66" s="154">
        <f t="shared" si="18"/>
        <v>0</v>
      </c>
      <c r="H66" s="23"/>
      <c r="I66" s="23"/>
      <c r="J66" s="23"/>
      <c r="K66" s="23"/>
      <c r="L66" s="23"/>
      <c r="M66" s="23"/>
      <c r="N66" s="154"/>
      <c r="O66" s="155">
        <f t="shared" si="19"/>
        <v>0</v>
      </c>
      <c r="P66" s="23"/>
      <c r="Q66" s="23"/>
      <c r="R66" s="23"/>
      <c r="S66" s="158">
        <f t="shared" si="20"/>
        <v>0</v>
      </c>
      <c r="T66" s="158">
        <f t="shared" si="21"/>
        <v>0</v>
      </c>
      <c r="U66" s="158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8"/>
      <c r="F67" s="148"/>
      <c r="G67" s="154">
        <f t="shared" si="18"/>
        <v>0</v>
      </c>
      <c r="H67" s="23"/>
      <c r="I67" s="23"/>
      <c r="J67" s="23"/>
      <c r="K67" s="23"/>
      <c r="L67" s="23"/>
      <c r="M67" s="23"/>
      <c r="N67" s="154"/>
      <c r="O67" s="155">
        <f t="shared" si="19"/>
        <v>0</v>
      </c>
      <c r="P67" s="23"/>
      <c r="Q67" s="23"/>
      <c r="R67" s="23"/>
      <c r="S67" s="158">
        <f t="shared" si="20"/>
        <v>0</v>
      </c>
      <c r="T67" s="158">
        <f t="shared" si="21"/>
        <v>0</v>
      </c>
      <c r="U67" s="158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8"/>
      <c r="F68" s="148"/>
      <c r="G68" s="154">
        <f t="shared" si="18"/>
        <v>0</v>
      </c>
      <c r="H68" s="23"/>
      <c r="I68" s="23"/>
      <c r="J68" s="23"/>
      <c r="K68" s="23"/>
      <c r="L68" s="23"/>
      <c r="M68" s="23"/>
      <c r="N68" s="154"/>
      <c r="O68" s="155">
        <f t="shared" si="19"/>
        <v>0</v>
      </c>
      <c r="P68" s="23"/>
      <c r="Q68" s="23"/>
      <c r="R68" s="23"/>
      <c r="S68" s="158">
        <f t="shared" si="20"/>
        <v>0</v>
      </c>
      <c r="T68" s="158">
        <f t="shared" si="21"/>
        <v>0</v>
      </c>
      <c r="U68" s="158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8"/>
      <c r="F69" s="148"/>
      <c r="G69" s="154">
        <f t="shared" si="18"/>
        <v>0</v>
      </c>
      <c r="H69" s="23"/>
      <c r="I69" s="23"/>
      <c r="J69" s="23"/>
      <c r="K69" s="23"/>
      <c r="L69" s="23"/>
      <c r="M69" s="23"/>
      <c r="N69" s="154"/>
      <c r="O69" s="155">
        <f t="shared" si="19"/>
        <v>0</v>
      </c>
      <c r="P69" s="23"/>
      <c r="Q69" s="23"/>
      <c r="R69" s="23"/>
      <c r="S69" s="158">
        <f t="shared" si="20"/>
        <v>0</v>
      </c>
      <c r="T69" s="158">
        <f t="shared" si="21"/>
        <v>0</v>
      </c>
      <c r="U69" s="158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7">
        <f t="shared" si="23"/>
        <v>0</v>
      </c>
      <c r="F70" s="147">
        <f t="shared" si="23"/>
        <v>0</v>
      </c>
      <c r="G70" s="147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7">
        <f t="shared" si="23"/>
        <v>0</v>
      </c>
      <c r="O70" s="147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7">
        <f t="shared" si="23"/>
        <v>0</v>
      </c>
      <c r="T70" s="147">
        <f t="shared" si="23"/>
        <v>0</v>
      </c>
      <c r="U70" s="147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8"/>
      <c r="F71" s="148"/>
      <c r="G71" s="154">
        <f t="shared" si="18"/>
        <v>0</v>
      </c>
      <c r="H71" s="23"/>
      <c r="I71" s="23"/>
      <c r="J71" s="23"/>
      <c r="K71" s="23"/>
      <c r="L71" s="23"/>
      <c r="M71" s="23"/>
      <c r="N71" s="154"/>
      <c r="O71" s="155">
        <f t="shared" si="19"/>
        <v>0</v>
      </c>
      <c r="P71" s="23"/>
      <c r="Q71" s="23"/>
      <c r="R71" s="23"/>
      <c r="S71" s="158">
        <f t="shared" si="20"/>
        <v>0</v>
      </c>
      <c r="T71" s="158">
        <f t="shared" si="21"/>
        <v>0</v>
      </c>
      <c r="U71" s="158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8"/>
      <c r="F72" s="148"/>
      <c r="G72" s="154">
        <f t="shared" si="18"/>
        <v>0</v>
      </c>
      <c r="H72" s="23"/>
      <c r="I72" s="23"/>
      <c r="J72" s="23"/>
      <c r="K72" s="23"/>
      <c r="L72" s="23"/>
      <c r="M72" s="23"/>
      <c r="N72" s="154"/>
      <c r="O72" s="155">
        <f t="shared" si="19"/>
        <v>0</v>
      </c>
      <c r="P72" s="23"/>
      <c r="Q72" s="23"/>
      <c r="R72" s="23"/>
      <c r="S72" s="158">
        <f t="shared" si="20"/>
        <v>0</v>
      </c>
      <c r="T72" s="158">
        <f t="shared" si="21"/>
        <v>0</v>
      </c>
      <c r="U72" s="158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7">
        <f t="shared" si="24"/>
        <v>0</v>
      </c>
      <c r="F73" s="147">
        <f t="shared" si="24"/>
        <v>0</v>
      </c>
      <c r="G73" s="147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7">
        <f t="shared" si="24"/>
        <v>0</v>
      </c>
      <c r="O73" s="147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7">
        <f t="shared" si="24"/>
        <v>0</v>
      </c>
      <c r="T73" s="147">
        <f t="shared" si="24"/>
        <v>0</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8"/>
      <c r="F74" s="148"/>
      <c r="G74" s="154">
        <f t="shared" si="18"/>
        <v>0</v>
      </c>
      <c r="H74" s="23"/>
      <c r="I74" s="23"/>
      <c r="J74" s="23"/>
      <c r="K74" s="23"/>
      <c r="L74" s="23"/>
      <c r="M74" s="23"/>
      <c r="N74" s="154"/>
      <c r="O74" s="155">
        <f t="shared" si="19"/>
        <v>0</v>
      </c>
      <c r="P74" s="23"/>
      <c r="Q74" s="23"/>
      <c r="R74" s="23"/>
      <c r="S74" s="158">
        <f t="shared" si="20"/>
        <v>0</v>
      </c>
      <c r="T74" s="158">
        <f t="shared" si="21"/>
        <v>0</v>
      </c>
      <c r="U74" s="158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8"/>
      <c r="F75" s="148"/>
      <c r="G75" s="154">
        <f t="shared" si="18"/>
        <v>0</v>
      </c>
      <c r="H75" s="23"/>
      <c r="I75" s="23"/>
      <c r="J75" s="23"/>
      <c r="K75" s="23"/>
      <c r="L75" s="23"/>
      <c r="M75" s="23"/>
      <c r="N75" s="154"/>
      <c r="O75" s="155">
        <f t="shared" si="19"/>
        <v>0</v>
      </c>
      <c r="P75" s="23"/>
      <c r="Q75" s="23"/>
      <c r="R75" s="23"/>
      <c r="S75" s="158">
        <f t="shared" si="20"/>
        <v>0</v>
      </c>
      <c r="T75" s="158">
        <f t="shared" si="21"/>
        <v>0</v>
      </c>
      <c r="U75" s="158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8"/>
      <c r="F76" s="148"/>
      <c r="G76" s="154">
        <f t="shared" si="18"/>
        <v>0</v>
      </c>
      <c r="H76" s="23"/>
      <c r="I76" s="23"/>
      <c r="J76" s="23"/>
      <c r="K76" s="23"/>
      <c r="L76" s="23"/>
      <c r="M76" s="23"/>
      <c r="N76" s="154"/>
      <c r="O76" s="155">
        <f t="shared" si="19"/>
        <v>0</v>
      </c>
      <c r="P76" s="23"/>
      <c r="Q76" s="23"/>
      <c r="R76" s="23"/>
      <c r="S76" s="158">
        <f t="shared" si="20"/>
        <v>0</v>
      </c>
      <c r="T76" s="158">
        <f t="shared" si="21"/>
        <v>0</v>
      </c>
      <c r="U76" s="158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8"/>
      <c r="F77" s="148"/>
      <c r="G77" s="154">
        <f t="shared" si="18"/>
        <v>0</v>
      </c>
      <c r="H77" s="23"/>
      <c r="I77" s="23"/>
      <c r="J77" s="23"/>
      <c r="K77" s="23"/>
      <c r="L77" s="23"/>
      <c r="M77" s="23"/>
      <c r="N77" s="154"/>
      <c r="O77" s="155">
        <f t="shared" si="19"/>
        <v>0</v>
      </c>
      <c r="P77" s="23"/>
      <c r="Q77" s="23"/>
      <c r="R77" s="23"/>
      <c r="S77" s="158">
        <f t="shared" si="20"/>
        <v>0</v>
      </c>
      <c r="T77" s="158">
        <f t="shared" si="21"/>
        <v>0</v>
      </c>
      <c r="U77" s="158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7">
        <f t="shared" si="25"/>
        <v>0</v>
      </c>
      <c r="F78" s="147">
        <f t="shared" si="25"/>
        <v>0</v>
      </c>
      <c r="G78" s="147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7">
        <f t="shared" si="25"/>
        <v>0</v>
      </c>
      <c r="O78" s="147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7">
        <f t="shared" si="25"/>
        <v>0</v>
      </c>
      <c r="T78" s="147">
        <f t="shared" si="25"/>
        <v>0</v>
      </c>
      <c r="U78" s="147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8"/>
      <c r="F79" s="148"/>
      <c r="G79" s="154">
        <f t="shared" si="18"/>
        <v>0</v>
      </c>
      <c r="H79" s="23"/>
      <c r="I79" s="23"/>
      <c r="J79" s="23"/>
      <c r="K79" s="23"/>
      <c r="L79" s="23"/>
      <c r="M79" s="23"/>
      <c r="N79" s="154"/>
      <c r="O79" s="155">
        <f t="shared" si="19"/>
        <v>0</v>
      </c>
      <c r="P79" s="23"/>
      <c r="Q79" s="23"/>
      <c r="R79" s="23"/>
      <c r="S79" s="158">
        <f t="shared" ref="S79:S80" si="26">+P79+Q79-R79</f>
        <v>0</v>
      </c>
      <c r="T79" s="158">
        <f t="shared" si="21"/>
        <v>0</v>
      </c>
      <c r="U79" s="158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8"/>
      <c r="F80" s="148"/>
      <c r="G80" s="154">
        <f t="shared" si="18"/>
        <v>0</v>
      </c>
      <c r="H80" s="23"/>
      <c r="I80" s="23"/>
      <c r="J80" s="23"/>
      <c r="K80" s="23"/>
      <c r="L80" s="23"/>
      <c r="M80" s="23"/>
      <c r="N80" s="154"/>
      <c r="O80" s="155">
        <f t="shared" si="19"/>
        <v>0</v>
      </c>
      <c r="P80" s="23"/>
      <c r="Q80" s="23"/>
      <c r="R80" s="23"/>
      <c r="S80" s="158">
        <f t="shared" si="26"/>
        <v>0</v>
      </c>
      <c r="T80" s="158">
        <f t="shared" si="21"/>
        <v>0</v>
      </c>
      <c r="U80" s="158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7">
        <f t="shared" si="27"/>
        <v>0</v>
      </c>
      <c r="F81" s="147">
        <f t="shared" si="27"/>
        <v>0</v>
      </c>
      <c r="G81" s="147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7">
        <f t="shared" si="27"/>
        <v>0</v>
      </c>
      <c r="O81" s="147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7">
        <f t="shared" si="27"/>
        <v>0</v>
      </c>
      <c r="T81" s="147">
        <f t="shared" si="27"/>
        <v>0</v>
      </c>
      <c r="U81" s="147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8"/>
      <c r="F82" s="148"/>
      <c r="G82" s="154">
        <f t="shared" si="18"/>
        <v>0</v>
      </c>
      <c r="H82" s="23"/>
      <c r="I82" s="23"/>
      <c r="J82" s="23"/>
      <c r="K82" s="23"/>
      <c r="L82" s="23"/>
      <c r="M82" s="23"/>
      <c r="N82" s="154"/>
      <c r="O82" s="155">
        <f t="shared" si="19"/>
        <v>0</v>
      </c>
      <c r="P82" s="23"/>
      <c r="Q82" s="23"/>
      <c r="R82" s="23"/>
      <c r="S82" s="158">
        <f t="shared" ref="S82:S90" si="28">+Q82-R82</f>
        <v>0</v>
      </c>
      <c r="T82" s="158">
        <f t="shared" si="21"/>
        <v>0</v>
      </c>
      <c r="U82" s="158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8"/>
      <c r="F83" s="148"/>
      <c r="G83" s="154">
        <f t="shared" si="18"/>
        <v>0</v>
      </c>
      <c r="H83" s="23"/>
      <c r="I83" s="23"/>
      <c r="J83" s="23"/>
      <c r="K83" s="23"/>
      <c r="L83" s="23"/>
      <c r="M83" s="23"/>
      <c r="N83" s="154"/>
      <c r="O83" s="155">
        <f t="shared" si="19"/>
        <v>0</v>
      </c>
      <c r="P83" s="23"/>
      <c r="Q83" s="23"/>
      <c r="R83" s="23"/>
      <c r="S83" s="158">
        <f t="shared" si="28"/>
        <v>0</v>
      </c>
      <c r="T83" s="158">
        <f t="shared" si="21"/>
        <v>0</v>
      </c>
      <c r="U83" s="158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8"/>
      <c r="F84" s="148"/>
      <c r="G84" s="154">
        <f t="shared" si="18"/>
        <v>0</v>
      </c>
      <c r="H84" s="23"/>
      <c r="I84" s="23"/>
      <c r="J84" s="23"/>
      <c r="K84" s="23"/>
      <c r="L84" s="23"/>
      <c r="M84" s="23"/>
      <c r="N84" s="154"/>
      <c r="O84" s="155">
        <f t="shared" si="19"/>
        <v>0</v>
      </c>
      <c r="P84" s="23"/>
      <c r="Q84" s="23"/>
      <c r="R84" s="23"/>
      <c r="S84" s="158">
        <f t="shared" si="28"/>
        <v>0</v>
      </c>
      <c r="T84" s="158">
        <f t="shared" si="21"/>
        <v>0</v>
      </c>
      <c r="U84" s="158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8"/>
      <c r="F85" s="148"/>
      <c r="G85" s="154">
        <f t="shared" si="18"/>
        <v>0</v>
      </c>
      <c r="H85" s="23"/>
      <c r="I85" s="23"/>
      <c r="J85" s="23"/>
      <c r="K85" s="23"/>
      <c r="L85" s="23"/>
      <c r="M85" s="23"/>
      <c r="N85" s="154"/>
      <c r="O85" s="155">
        <f t="shared" si="19"/>
        <v>0</v>
      </c>
      <c r="P85" s="23"/>
      <c r="Q85" s="23"/>
      <c r="R85" s="23"/>
      <c r="S85" s="158">
        <f t="shared" si="28"/>
        <v>0</v>
      </c>
      <c r="T85" s="158">
        <f t="shared" si="21"/>
        <v>0</v>
      </c>
      <c r="U85" s="158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7">
        <f t="shared" si="29"/>
        <v>0</v>
      </c>
      <c r="F86" s="147">
        <f t="shared" si="29"/>
        <v>0</v>
      </c>
      <c r="G86" s="147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7">
        <f t="shared" si="29"/>
        <v>0</v>
      </c>
      <c r="O86" s="147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7">
        <f t="shared" si="29"/>
        <v>0</v>
      </c>
      <c r="T86" s="147">
        <f t="shared" si="29"/>
        <v>0</v>
      </c>
      <c r="U86" s="147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8"/>
      <c r="F87" s="148"/>
      <c r="G87" s="154">
        <f t="shared" si="18"/>
        <v>0</v>
      </c>
      <c r="H87" s="23"/>
      <c r="I87" s="23"/>
      <c r="J87" s="23"/>
      <c r="K87" s="23"/>
      <c r="L87" s="23"/>
      <c r="M87" s="23"/>
      <c r="N87" s="154"/>
      <c r="O87" s="155">
        <f t="shared" si="19"/>
        <v>0</v>
      </c>
      <c r="P87" s="23"/>
      <c r="Q87" s="23"/>
      <c r="R87" s="23"/>
      <c r="S87" s="158">
        <f t="shared" si="28"/>
        <v>0</v>
      </c>
      <c r="T87" s="158">
        <f t="shared" si="21"/>
        <v>0</v>
      </c>
      <c r="U87" s="158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8"/>
      <c r="F88" s="148"/>
      <c r="G88" s="154">
        <f t="shared" si="18"/>
        <v>0</v>
      </c>
      <c r="H88" s="23"/>
      <c r="I88" s="23"/>
      <c r="J88" s="23"/>
      <c r="K88" s="23"/>
      <c r="L88" s="23"/>
      <c r="M88" s="23"/>
      <c r="N88" s="154"/>
      <c r="O88" s="155">
        <f t="shared" si="19"/>
        <v>0</v>
      </c>
      <c r="P88" s="23"/>
      <c r="Q88" s="23"/>
      <c r="R88" s="23"/>
      <c r="S88" s="158">
        <f t="shared" si="28"/>
        <v>0</v>
      </c>
      <c r="T88" s="158">
        <f t="shared" si="21"/>
        <v>0</v>
      </c>
      <c r="U88" s="158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8"/>
      <c r="F89" s="148"/>
      <c r="G89" s="154">
        <f t="shared" si="18"/>
        <v>0</v>
      </c>
      <c r="H89" s="23"/>
      <c r="I89" s="23"/>
      <c r="J89" s="23"/>
      <c r="K89" s="23"/>
      <c r="L89" s="23"/>
      <c r="M89" s="23"/>
      <c r="N89" s="154"/>
      <c r="O89" s="155">
        <f t="shared" si="19"/>
        <v>0</v>
      </c>
      <c r="P89" s="23"/>
      <c r="Q89" s="23"/>
      <c r="R89" s="23"/>
      <c r="S89" s="158">
        <f t="shared" si="28"/>
        <v>0</v>
      </c>
      <c r="T89" s="158">
        <f t="shared" si="21"/>
        <v>0</v>
      </c>
      <c r="U89" s="158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8"/>
      <c r="F90" s="148"/>
      <c r="G90" s="154">
        <f t="shared" si="18"/>
        <v>0</v>
      </c>
      <c r="H90" s="23"/>
      <c r="I90" s="23"/>
      <c r="J90" s="23"/>
      <c r="K90" s="23"/>
      <c r="L90" s="23"/>
      <c r="M90" s="23"/>
      <c r="N90" s="154"/>
      <c r="O90" s="155">
        <f t="shared" si="19"/>
        <v>0</v>
      </c>
      <c r="P90" s="23"/>
      <c r="Q90" s="23"/>
      <c r="R90" s="23"/>
      <c r="S90" s="158">
        <f t="shared" si="28"/>
        <v>0</v>
      </c>
      <c r="T90" s="158">
        <f t="shared" si="21"/>
        <v>0</v>
      </c>
      <c r="U90" s="158">
        <f t="shared" si="22"/>
        <v>0</v>
      </c>
    </row>
    <row r="91" spans="1:24" s="4" customFormat="1" ht="21" customHeight="1" x14ac:dyDescent="0.25">
      <c r="A91" s="168" t="s">
        <v>905</v>
      </c>
      <c r="B91" s="168"/>
      <c r="C91" s="27">
        <f t="shared" ref="C91:S91" si="30">+C86+C81+C78+C73+C70+C57</f>
        <v>0</v>
      </c>
      <c r="D91" s="27">
        <f t="shared" si="30"/>
        <v>0</v>
      </c>
      <c r="E91" s="149">
        <f t="shared" si="30"/>
        <v>0</v>
      </c>
      <c r="F91" s="149">
        <f t="shared" si="30"/>
        <v>0</v>
      </c>
      <c r="G91" s="149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9">
        <f t="shared" si="30"/>
        <v>0</v>
      </c>
      <c r="O91" s="149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9">
        <f t="shared" si="30"/>
        <v>0</v>
      </c>
      <c r="T91" s="149">
        <f>+T86+T81+T78+T73+T70+T57</f>
        <v>0</v>
      </c>
      <c r="U91" s="149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50"/>
      <c r="F92" s="150"/>
      <c r="G92" s="150"/>
      <c r="H92" s="31"/>
      <c r="I92" s="31"/>
      <c r="J92" s="31"/>
      <c r="K92" s="31"/>
      <c r="L92" s="31"/>
      <c r="M92" s="31"/>
      <c r="N92" s="150"/>
      <c r="O92" s="156"/>
      <c r="P92" s="31"/>
      <c r="Q92" s="31"/>
      <c r="R92" s="31"/>
      <c r="S92" s="150"/>
      <c r="T92" s="150"/>
      <c r="U92" s="156"/>
    </row>
    <row r="93" spans="1:24" s="4" customFormat="1" ht="32.25" customHeight="1" x14ac:dyDescent="0.25">
      <c r="A93" s="169" t="s">
        <v>1675</v>
      </c>
      <c r="B93" s="169"/>
      <c r="C93" s="32">
        <f t="shared" ref="C93:U93" si="31">+C91+C55</f>
        <v>1663218.1313699998</v>
      </c>
      <c r="D93" s="32">
        <f t="shared" si="31"/>
        <v>0</v>
      </c>
      <c r="E93" s="151">
        <f t="shared" si="31"/>
        <v>478567.85012999998</v>
      </c>
      <c r="F93" s="151">
        <f t="shared" si="31"/>
        <v>113937.57166000002</v>
      </c>
      <c r="G93" s="151">
        <f t="shared" si="31"/>
        <v>2027848.4098399999</v>
      </c>
      <c r="H93" s="32">
        <f t="shared" si="31"/>
        <v>709.18727999999999</v>
      </c>
      <c r="I93" s="32">
        <f t="shared" si="31"/>
        <v>-17521.830000000002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0</v>
      </c>
      <c r="N93" s="151">
        <f t="shared" si="31"/>
        <v>-16812.642720000003</v>
      </c>
      <c r="O93" s="151">
        <f t="shared" si="31"/>
        <v>2011035.7671200002</v>
      </c>
      <c r="P93" s="32">
        <f t="shared" si="31"/>
        <v>-349379.89059999998</v>
      </c>
      <c r="Q93" s="32">
        <f t="shared" si="31"/>
        <v>-31925.845739999997</v>
      </c>
      <c r="R93" s="32">
        <f t="shared" si="31"/>
        <v>-15343.570900000001</v>
      </c>
      <c r="S93" s="151">
        <f t="shared" si="31"/>
        <v>-16582.274839999998</v>
      </c>
      <c r="T93" s="151">
        <f t="shared" si="31"/>
        <v>-365962.16543999995</v>
      </c>
      <c r="U93" s="151">
        <f t="shared" si="31"/>
        <v>1645073.6016799998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65"/>
      <c r="B95" s="165"/>
      <c r="C95" s="165"/>
      <c r="D95" s="34"/>
      <c r="E95" s="152"/>
      <c r="F95" s="152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3"/>
      <c r="F97" s="153"/>
      <c r="G97" s="153"/>
      <c r="H97" s="19"/>
      <c r="N97" s="153"/>
      <c r="O97" s="153"/>
      <c r="S97" s="153"/>
      <c r="T97" s="153"/>
      <c r="U97" s="153"/>
    </row>
    <row r="99" spans="2:21" s="20" customFormat="1" x14ac:dyDescent="0.25">
      <c r="B99" s="35"/>
      <c r="C99" s="19"/>
      <c r="D99" s="35"/>
      <c r="E99" s="115"/>
      <c r="F99" s="153"/>
      <c r="G99" s="115"/>
      <c r="H99" s="35"/>
      <c r="N99" s="153"/>
      <c r="O99" s="153"/>
      <c r="S99" s="153"/>
      <c r="T99" s="153"/>
      <c r="U99" s="153"/>
    </row>
    <row r="100" spans="2:21" s="20" customFormat="1" x14ac:dyDescent="0.25">
      <c r="B100" s="35"/>
      <c r="C100" s="19"/>
      <c r="D100" s="35"/>
      <c r="E100" s="115"/>
      <c r="F100" s="153"/>
      <c r="G100" s="115"/>
      <c r="H100" s="35"/>
      <c r="N100" s="153"/>
      <c r="O100" s="153"/>
      <c r="S100" s="153"/>
      <c r="T100" s="153"/>
      <c r="U100" s="153"/>
    </row>
    <row r="101" spans="2:21" s="20" customFormat="1" x14ac:dyDescent="0.25">
      <c r="B101" s="35"/>
      <c r="C101" s="19"/>
      <c r="D101" s="35"/>
      <c r="E101" s="115"/>
      <c r="F101" s="153"/>
      <c r="G101" s="115"/>
      <c r="H101" s="35"/>
      <c r="N101" s="153"/>
      <c r="O101" s="153"/>
      <c r="S101" s="153"/>
      <c r="T101" s="153"/>
      <c r="U101" s="153"/>
    </row>
    <row r="102" spans="2:21" s="20" customFormat="1" x14ac:dyDescent="0.25">
      <c r="B102" s="36" t="s">
        <v>1676</v>
      </c>
      <c r="C102" s="19"/>
      <c r="D102" s="166" t="s">
        <v>1581</v>
      </c>
      <c r="E102" s="166"/>
      <c r="F102" s="153"/>
      <c r="G102" s="166" t="s">
        <v>1582</v>
      </c>
      <c r="H102" s="166"/>
      <c r="N102" s="153"/>
      <c r="O102" s="153"/>
      <c r="S102" s="153"/>
      <c r="T102" s="153"/>
      <c r="U102" s="153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P8:P9"/>
    <mergeCell ref="Q8:Q9"/>
    <mergeCell ref="R8:R9"/>
    <mergeCell ref="H8:H9"/>
    <mergeCell ref="I8:I9"/>
    <mergeCell ref="J8:J9"/>
    <mergeCell ref="K8:K9"/>
    <mergeCell ref="L8:L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topLeftCell="A34" zoomScaleNormal="100" zoomScaleSheetLayoutView="90" workbookViewId="0">
      <selection activeCell="A53" sqref="A53:XFD56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2" customFormat="1" ht="15.75" x14ac:dyDescent="0.25">
      <c r="A2" s="170" t="str">
        <f ca="1">Data!N1</f>
        <v xml:space="preserve">Consejo Nacional de Investigaciones Científicas y Tecnológicas (CONICIT) 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</row>
    <row r="3" spans="1:29" s="132" customFormat="1" ht="15.75" x14ac:dyDescent="0.25">
      <c r="A3" s="182" t="s">
        <v>914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</row>
    <row r="4" spans="1:29" s="132" customFormat="1" ht="15.75" x14ac:dyDescent="0.25">
      <c r="A4" s="170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30 de Junio de 2021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</row>
    <row r="5" spans="1:29" s="131" customFormat="1" ht="18" customHeight="1" x14ac:dyDescent="0.25">
      <c r="A5" s="184" t="s">
        <v>1584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</row>
    <row r="6" spans="1:29" s="9" customFormat="1" ht="37.5" customHeight="1" x14ac:dyDescent="0.25">
      <c r="A6" s="114" t="s">
        <v>916</v>
      </c>
      <c r="B6" s="183" t="s">
        <v>917</v>
      </c>
      <c r="C6" s="183"/>
      <c r="D6" s="183" t="s">
        <v>918</v>
      </c>
      <c r="E6" s="183"/>
      <c r="F6" s="183" t="s">
        <v>919</v>
      </c>
      <c r="G6" s="183"/>
      <c r="H6" s="183" t="s">
        <v>920</v>
      </c>
      <c r="I6" s="183"/>
      <c r="J6" s="183" t="s">
        <v>921</v>
      </c>
      <c r="K6" s="183"/>
      <c r="L6" s="183" t="s">
        <v>922</v>
      </c>
      <c r="M6" s="183"/>
      <c r="N6" s="183" t="s">
        <v>923</v>
      </c>
      <c r="O6" s="183"/>
      <c r="P6" s="183" t="s">
        <v>924</v>
      </c>
      <c r="Q6" s="183"/>
      <c r="R6" s="183" t="s">
        <v>925</v>
      </c>
      <c r="S6" s="183"/>
      <c r="T6" s="183" t="s">
        <v>926</v>
      </c>
      <c r="U6" s="183"/>
      <c r="V6" s="183" t="s">
        <v>927</v>
      </c>
      <c r="W6" s="183"/>
      <c r="X6" s="183" t="s">
        <v>928</v>
      </c>
      <c r="Y6" s="183"/>
      <c r="Z6" s="183" t="s">
        <v>1679</v>
      </c>
      <c r="AA6" s="183"/>
      <c r="AB6" s="183" t="s">
        <v>1680</v>
      </c>
      <c r="AC6" s="185"/>
    </row>
    <row r="7" spans="1:29" s="118" customFormat="1" ht="23.25" customHeight="1" x14ac:dyDescent="0.25">
      <c r="A7" s="133" t="s">
        <v>1681</v>
      </c>
      <c r="B7" s="127" t="str">
        <f ca="1">Data!C2</f>
        <v>2021</v>
      </c>
      <c r="C7" s="128">
        <f ca="1">Data!C2-1</f>
        <v>2020</v>
      </c>
      <c r="D7" s="129" t="str">
        <f ca="1">Data!C2</f>
        <v>2021</v>
      </c>
      <c r="E7" s="128">
        <f ca="1">Data!C2-1</f>
        <v>2020</v>
      </c>
      <c r="F7" s="129" t="str">
        <f ca="1">Data!C2</f>
        <v>2021</v>
      </c>
      <c r="G7" s="128">
        <f ca="1">Data!C2-1</f>
        <v>2020</v>
      </c>
      <c r="H7" s="129" t="str">
        <f ca="1">Data!C2</f>
        <v>2021</v>
      </c>
      <c r="I7" s="128">
        <f ca="1">Data!C2-1</f>
        <v>2020</v>
      </c>
      <c r="J7" s="129" t="str">
        <f ca="1">Data!C2</f>
        <v>2021</v>
      </c>
      <c r="K7" s="128">
        <f ca="1">Data!C2-1</f>
        <v>2020</v>
      </c>
      <c r="L7" s="129" t="str">
        <f ca="1">Data!C2</f>
        <v>2021</v>
      </c>
      <c r="M7" s="128">
        <f ca="1">Data!C2-1</f>
        <v>2020</v>
      </c>
      <c r="N7" s="129" t="str">
        <f ca="1">Data!C2</f>
        <v>2021</v>
      </c>
      <c r="O7" s="128">
        <f ca="1">Data!C2-1</f>
        <v>2020</v>
      </c>
      <c r="P7" s="129" t="str">
        <f ca="1">Data!C2</f>
        <v>2021</v>
      </c>
      <c r="Q7" s="128">
        <f ca="1">Data!C2-1</f>
        <v>2020</v>
      </c>
      <c r="R7" s="129" t="str">
        <f ca="1">Data!C2</f>
        <v>2021</v>
      </c>
      <c r="S7" s="128">
        <f ca="1">Data!C2-1</f>
        <v>2020</v>
      </c>
      <c r="T7" s="129" t="str">
        <f ca="1">Data!C2</f>
        <v>2021</v>
      </c>
      <c r="U7" s="128">
        <f ca="1">Data!C2-1</f>
        <v>2020</v>
      </c>
      <c r="V7" s="129" t="str">
        <f ca="1">Data!C2</f>
        <v>2021</v>
      </c>
      <c r="W7" s="128">
        <f ca="1">Data!C2-1</f>
        <v>2020</v>
      </c>
      <c r="X7" s="129" t="str">
        <f ca="1">Data!C2</f>
        <v>2021</v>
      </c>
      <c r="Y7" s="128">
        <f ca="1">Data!C2-1</f>
        <v>2020</v>
      </c>
      <c r="Z7" s="129" t="str">
        <f ca="1">Data!C2</f>
        <v>2021</v>
      </c>
      <c r="AA7" s="128">
        <f ca="1">Data!C2-1</f>
        <v>2020</v>
      </c>
      <c r="AB7" s="129" t="str">
        <f ca="1">Data!C2</f>
        <v>2021</v>
      </c>
      <c r="AC7" s="130">
        <f ca="1">Data!C2-1</f>
        <v>2020</v>
      </c>
    </row>
    <row r="8" spans="1:29" ht="23.25" customHeight="1" x14ac:dyDescent="0.25">
      <c r="A8" s="134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1" t="s">
        <v>1585</v>
      </c>
      <c r="AB9" s="121" t="s">
        <v>1585</v>
      </c>
      <c r="AC9" s="121" t="s">
        <v>1585</v>
      </c>
    </row>
    <row r="10" spans="1:29" ht="33" customHeight="1" x14ac:dyDescent="0.25">
      <c r="A10" s="119" t="s">
        <v>933</v>
      </c>
      <c r="B10" s="126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 t="s">
        <v>1585</v>
      </c>
      <c r="AA10" s="121" t="s">
        <v>1585</v>
      </c>
      <c r="AB10" s="121" t="s">
        <v>1585</v>
      </c>
      <c r="AC10" s="121" t="s">
        <v>1585</v>
      </c>
    </row>
    <row r="11" spans="1:29" ht="33" customHeight="1" x14ac:dyDescent="0.25">
      <c r="A11" s="122" t="s">
        <v>934</v>
      </c>
      <c r="B11" s="12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 t="s">
        <v>1585</v>
      </c>
      <c r="AA11" s="121" t="s">
        <v>1585</v>
      </c>
      <c r="AB11" s="121" t="s">
        <v>1585</v>
      </c>
      <c r="AC11" s="121" t="s">
        <v>1585</v>
      </c>
    </row>
    <row r="12" spans="1:29" ht="21" customHeight="1" x14ac:dyDescent="0.25">
      <c r="A12" s="135" t="s">
        <v>1685</v>
      </c>
      <c r="B12" s="136" t="s">
        <v>1585</v>
      </c>
      <c r="C12" s="136" t="s">
        <v>1585</v>
      </c>
      <c r="D12" s="136" t="s">
        <v>1585</v>
      </c>
      <c r="E12" s="136" t="s">
        <v>1585</v>
      </c>
      <c r="F12" s="136" t="s">
        <v>1585</v>
      </c>
      <c r="G12" s="136" t="s">
        <v>1585</v>
      </c>
      <c r="H12" s="136" t="s">
        <v>1585</v>
      </c>
      <c r="I12" s="136" t="s">
        <v>1585</v>
      </c>
      <c r="J12" s="136" t="s">
        <v>1585</v>
      </c>
      <c r="K12" s="136" t="s">
        <v>1585</v>
      </c>
      <c r="L12" s="136" t="s">
        <v>1585</v>
      </c>
      <c r="M12" s="136" t="s">
        <v>1585</v>
      </c>
      <c r="N12" s="136" t="s">
        <v>1585</v>
      </c>
      <c r="O12" s="136" t="s">
        <v>1585</v>
      </c>
      <c r="P12" s="136" t="s">
        <v>1585</v>
      </c>
      <c r="Q12" s="136" t="s">
        <v>1585</v>
      </c>
      <c r="R12" s="136" t="s">
        <v>1585</v>
      </c>
      <c r="S12" s="136" t="s">
        <v>1585</v>
      </c>
      <c r="T12" s="136" t="s">
        <v>1585</v>
      </c>
      <c r="U12" s="136" t="s">
        <v>1585</v>
      </c>
      <c r="V12" s="136" t="s">
        <v>1585</v>
      </c>
      <c r="W12" s="136" t="s">
        <v>1585</v>
      </c>
      <c r="X12" s="136" t="s">
        <v>1585</v>
      </c>
      <c r="Y12" s="136" t="s">
        <v>1585</v>
      </c>
      <c r="Z12" s="136" t="s">
        <v>1585</v>
      </c>
      <c r="AA12" s="136" t="s">
        <v>1585</v>
      </c>
      <c r="AB12" s="136" t="s">
        <v>1585</v>
      </c>
      <c r="AC12" s="136" t="s">
        <v>1585</v>
      </c>
    </row>
    <row r="13" spans="1:29" ht="21" customHeight="1" x14ac:dyDescent="0.25">
      <c r="A13" s="134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6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 t="s">
        <v>937</v>
      </c>
      <c r="AA14" s="121" t="s">
        <v>937</v>
      </c>
      <c r="AB14" s="121" t="s">
        <v>937</v>
      </c>
      <c r="AC14" s="121" t="s">
        <v>937</v>
      </c>
    </row>
    <row r="15" spans="1:29" ht="33" customHeight="1" x14ac:dyDescent="0.25">
      <c r="A15" s="119" t="s">
        <v>933</v>
      </c>
      <c r="B15" s="1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 t="s">
        <v>937</v>
      </c>
      <c r="AA15" s="121" t="s">
        <v>937</v>
      </c>
      <c r="AB15" s="121" t="s">
        <v>937</v>
      </c>
      <c r="AC15" s="121" t="s">
        <v>937</v>
      </c>
    </row>
    <row r="16" spans="1:29" ht="33" customHeight="1" x14ac:dyDescent="0.25">
      <c r="A16" s="122" t="s">
        <v>938</v>
      </c>
      <c r="B16" s="126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 t="s">
        <v>937</v>
      </c>
      <c r="AA16" s="121" t="s">
        <v>937</v>
      </c>
      <c r="AB16" s="121" t="s">
        <v>937</v>
      </c>
      <c r="AC16" s="121" t="s">
        <v>937</v>
      </c>
    </row>
    <row r="17" spans="1:29" ht="21" customHeight="1" x14ac:dyDescent="0.25">
      <c r="A17" s="135" t="s">
        <v>1686</v>
      </c>
      <c r="B17" s="136" t="s">
        <v>937</v>
      </c>
      <c r="C17" s="136" t="s">
        <v>937</v>
      </c>
      <c r="D17" s="136" t="s">
        <v>937</v>
      </c>
      <c r="E17" s="136" t="s">
        <v>937</v>
      </c>
      <c r="F17" s="136" t="s">
        <v>937</v>
      </c>
      <c r="G17" s="136" t="s">
        <v>937</v>
      </c>
      <c r="H17" s="136" t="s">
        <v>937</v>
      </c>
      <c r="I17" s="136" t="s">
        <v>937</v>
      </c>
      <c r="J17" s="136" t="s">
        <v>937</v>
      </c>
      <c r="K17" s="136" t="s">
        <v>937</v>
      </c>
      <c r="L17" s="136" t="s">
        <v>937</v>
      </c>
      <c r="M17" s="136" t="s">
        <v>937</v>
      </c>
      <c r="N17" s="136" t="s">
        <v>937</v>
      </c>
      <c r="O17" s="136" t="s">
        <v>937</v>
      </c>
      <c r="P17" s="136" t="s">
        <v>937</v>
      </c>
      <c r="Q17" s="136" t="s">
        <v>937</v>
      </c>
      <c r="R17" s="136" t="s">
        <v>937</v>
      </c>
      <c r="S17" s="136" t="s">
        <v>937</v>
      </c>
      <c r="T17" s="136" t="s">
        <v>937</v>
      </c>
      <c r="U17" s="136" t="s">
        <v>937</v>
      </c>
      <c r="V17" s="136" t="s">
        <v>937</v>
      </c>
      <c r="W17" s="136" t="s">
        <v>937</v>
      </c>
      <c r="X17" s="136" t="s">
        <v>937</v>
      </c>
      <c r="Y17" s="136" t="s">
        <v>937</v>
      </c>
      <c r="Z17" s="136" t="s">
        <v>937</v>
      </c>
      <c r="AA17" s="136" t="s">
        <v>937</v>
      </c>
      <c r="AB17" s="136" t="s">
        <v>937</v>
      </c>
      <c r="AC17" s="136" t="s">
        <v>937</v>
      </c>
    </row>
    <row r="18" spans="1:29" ht="33" x14ac:dyDescent="0.25">
      <c r="A18" s="137" t="s">
        <v>1682</v>
      </c>
      <c r="B18" s="138" t="s">
        <v>1585</v>
      </c>
      <c r="C18" s="138" t="s">
        <v>1585</v>
      </c>
      <c r="D18" s="138" t="s">
        <v>1585</v>
      </c>
      <c r="E18" s="138" t="s">
        <v>1585</v>
      </c>
      <c r="F18" s="138" t="s">
        <v>1585</v>
      </c>
      <c r="G18" s="138" t="s">
        <v>1585</v>
      </c>
      <c r="H18" s="138" t="s">
        <v>1585</v>
      </c>
      <c r="I18" s="138" t="s">
        <v>1585</v>
      </c>
      <c r="J18" s="138" t="s">
        <v>1585</v>
      </c>
      <c r="K18" s="138" t="s">
        <v>1585</v>
      </c>
      <c r="L18" s="138" t="s">
        <v>1585</v>
      </c>
      <c r="M18" s="138" t="s">
        <v>1585</v>
      </c>
      <c r="N18" s="138" t="s">
        <v>1585</v>
      </c>
      <c r="O18" s="138" t="s">
        <v>1585</v>
      </c>
      <c r="P18" s="138" t="s">
        <v>1585</v>
      </c>
      <c r="Q18" s="138" t="s">
        <v>1585</v>
      </c>
      <c r="R18" s="138" t="s">
        <v>1585</v>
      </c>
      <c r="S18" s="138" t="s">
        <v>1585</v>
      </c>
      <c r="T18" s="138" t="s">
        <v>1585</v>
      </c>
      <c r="U18" s="138" t="s">
        <v>1585</v>
      </c>
      <c r="V18" s="138" t="s">
        <v>1585</v>
      </c>
      <c r="W18" s="138" t="s">
        <v>1585</v>
      </c>
      <c r="X18" s="138" t="s">
        <v>1585</v>
      </c>
      <c r="Y18" s="138" t="s">
        <v>1585</v>
      </c>
      <c r="Z18" s="138" t="s">
        <v>1585</v>
      </c>
      <c r="AA18" s="138" t="s">
        <v>1585</v>
      </c>
      <c r="AB18" s="138" t="s">
        <v>1585</v>
      </c>
      <c r="AC18" s="138" t="s">
        <v>1585</v>
      </c>
    </row>
    <row r="19" spans="1:29" ht="33" customHeight="1" x14ac:dyDescent="0.25">
      <c r="A19" s="119" t="s">
        <v>939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 t="s">
        <v>937</v>
      </c>
      <c r="AA19" s="121" t="s">
        <v>937</v>
      </c>
      <c r="AB19" s="121" t="s">
        <v>937</v>
      </c>
      <c r="AC19" s="121" t="s">
        <v>937</v>
      </c>
    </row>
    <row r="20" spans="1:29" ht="33" customHeight="1" x14ac:dyDescent="0.25">
      <c r="A20" s="119" t="s">
        <v>1678</v>
      </c>
      <c r="B20" s="12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 t="s">
        <v>1585</v>
      </c>
      <c r="AA20" s="121" t="s">
        <v>1585</v>
      </c>
      <c r="AB20" s="121" t="s">
        <v>1585</v>
      </c>
      <c r="AC20" s="121" t="s">
        <v>1585</v>
      </c>
    </row>
    <row r="21" spans="1:29" ht="33" customHeight="1" x14ac:dyDescent="0.25">
      <c r="A21" s="122" t="s">
        <v>940</v>
      </c>
      <c r="B21" s="12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 t="s">
        <v>1585</v>
      </c>
      <c r="AA21" s="121" t="s">
        <v>1585</v>
      </c>
      <c r="AB21" s="121" t="s">
        <v>1585</v>
      </c>
      <c r="AC21" s="121" t="s">
        <v>1585</v>
      </c>
    </row>
    <row r="22" spans="1:29" ht="27.75" customHeight="1" x14ac:dyDescent="0.25">
      <c r="A22" s="143" t="s">
        <v>1684</v>
      </c>
      <c r="B22" s="139" t="s">
        <v>1585</v>
      </c>
      <c r="C22" s="139" t="s">
        <v>1585</v>
      </c>
      <c r="D22" s="139" t="s">
        <v>1585</v>
      </c>
      <c r="E22" s="139" t="s">
        <v>1585</v>
      </c>
      <c r="F22" s="139" t="s">
        <v>1585</v>
      </c>
      <c r="G22" s="139" t="s">
        <v>1585</v>
      </c>
      <c r="H22" s="139" t="s">
        <v>1585</v>
      </c>
      <c r="I22" s="139" t="s">
        <v>1585</v>
      </c>
      <c r="J22" s="139" t="s">
        <v>1585</v>
      </c>
      <c r="K22" s="139" t="s">
        <v>1585</v>
      </c>
      <c r="L22" s="139" t="s">
        <v>1585</v>
      </c>
      <c r="M22" s="139" t="s">
        <v>1585</v>
      </c>
      <c r="N22" s="139" t="s">
        <v>1585</v>
      </c>
      <c r="O22" s="139" t="s">
        <v>1585</v>
      </c>
      <c r="P22" s="139" t="s">
        <v>1585</v>
      </c>
      <c r="Q22" s="139" t="s">
        <v>1585</v>
      </c>
      <c r="R22" s="139" t="s">
        <v>1585</v>
      </c>
      <c r="S22" s="139" t="s">
        <v>1585</v>
      </c>
      <c r="T22" s="139" t="s">
        <v>1585</v>
      </c>
      <c r="U22" s="139" t="s">
        <v>1585</v>
      </c>
      <c r="V22" s="139" t="s">
        <v>1585</v>
      </c>
      <c r="W22" s="139" t="s">
        <v>1585</v>
      </c>
      <c r="X22" s="139" t="s">
        <v>1585</v>
      </c>
      <c r="Y22" s="139" t="s">
        <v>1585</v>
      </c>
      <c r="Z22" s="139" t="s">
        <v>1585</v>
      </c>
      <c r="AA22" s="139" t="s">
        <v>1585</v>
      </c>
      <c r="AB22" s="139" t="s">
        <v>1585</v>
      </c>
      <c r="AC22" s="139" t="s">
        <v>1585</v>
      </c>
    </row>
    <row r="23" spans="1:29" ht="16.5" customHeight="1" x14ac:dyDescent="0.25">
      <c r="A23" s="188" t="s">
        <v>941</v>
      </c>
      <c r="B23" s="188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89"/>
      <c r="B24" s="189"/>
      <c r="C24" s="189"/>
      <c r="D24" s="189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x14ac:dyDescent="0.25">
      <c r="A25" s="186"/>
      <c r="B25" s="186"/>
      <c r="C25" s="186"/>
      <c r="D25" s="18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20" customFormat="1" ht="16.5" customHeight="1" x14ac:dyDescent="0.25">
      <c r="B26" s="190"/>
      <c r="C26" s="190"/>
      <c r="D26" s="190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190"/>
      <c r="C27" s="190"/>
      <c r="D27" s="190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190"/>
      <c r="C28" s="190"/>
      <c r="D28" s="190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66" t="s">
        <v>1676</v>
      </c>
      <c r="C29" s="166"/>
      <c r="D29" s="166"/>
      <c r="F29" s="166" t="s">
        <v>1683</v>
      </c>
      <c r="G29" s="166"/>
      <c r="H29" s="166"/>
      <c r="J29" s="166" t="s">
        <v>1582</v>
      </c>
      <c r="K29" s="166"/>
      <c r="L29" s="166"/>
    </row>
    <row r="30" spans="1:29" x14ac:dyDescent="0.25">
      <c r="A30" s="124"/>
    </row>
    <row r="31" spans="1:29" x14ac:dyDescent="0.25">
      <c r="A31" s="124"/>
    </row>
    <row r="32" spans="1:29" x14ac:dyDescent="0.25">
      <c r="A32" s="124"/>
    </row>
    <row r="33" spans="1:29" x14ac:dyDescent="0.25">
      <c r="A33" s="124"/>
    </row>
    <row r="34" spans="1:29" s="132" customFormat="1" ht="15.75" x14ac:dyDescent="0.25">
      <c r="A34" s="187" t="str">
        <f ca="1">Data!N1</f>
        <v xml:space="preserve">Consejo Nacional de Investigaciones Científicas y Tecnológicas (CONICIT) 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</row>
    <row r="35" spans="1:29" s="132" customFormat="1" ht="15.7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s="132" customFormat="1" ht="15.75" x14ac:dyDescent="0.25">
      <c r="A36" s="187" t="s">
        <v>914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</row>
    <row r="37" spans="1:29" s="132" customFormat="1" ht="15.75" x14ac:dyDescent="0.25">
      <c r="A37" s="194" t="s">
        <v>942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</row>
    <row r="38" spans="1:29" s="132" customFormat="1" ht="15.75" x14ac:dyDescent="0.25">
      <c r="A38" s="170" t="s">
        <v>915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</row>
    <row r="39" spans="1:29" x14ac:dyDescent="0.25">
      <c r="A39" s="193" t="s">
        <v>1584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</row>
    <row r="40" spans="1:29" s="9" customFormat="1" ht="37.5" customHeight="1" x14ac:dyDescent="0.25">
      <c r="A40" s="141" t="s">
        <v>916</v>
      </c>
      <c r="B40" s="191" t="s">
        <v>917</v>
      </c>
      <c r="C40" s="191"/>
      <c r="D40" s="191" t="s">
        <v>918</v>
      </c>
      <c r="E40" s="191"/>
      <c r="F40" s="191" t="s">
        <v>919</v>
      </c>
      <c r="G40" s="191"/>
      <c r="H40" s="191" t="s">
        <v>920</v>
      </c>
      <c r="I40" s="191"/>
      <c r="J40" s="191" t="s">
        <v>921</v>
      </c>
      <c r="K40" s="191"/>
      <c r="L40" s="191" t="s">
        <v>922</v>
      </c>
      <c r="M40" s="191"/>
      <c r="N40" s="191" t="s">
        <v>923</v>
      </c>
      <c r="O40" s="191"/>
      <c r="P40" s="191" t="s">
        <v>924</v>
      </c>
      <c r="Q40" s="191"/>
      <c r="R40" s="191" t="s">
        <v>925</v>
      </c>
      <c r="S40" s="191"/>
      <c r="T40" s="191" t="s">
        <v>926</v>
      </c>
      <c r="U40" s="191"/>
      <c r="V40" s="191" t="s">
        <v>927</v>
      </c>
      <c r="W40" s="191"/>
      <c r="X40" s="191" t="s">
        <v>928</v>
      </c>
      <c r="Y40" s="191"/>
      <c r="Z40" s="191" t="s">
        <v>929</v>
      </c>
      <c r="AA40" s="191"/>
      <c r="AB40" s="191" t="s">
        <v>930</v>
      </c>
      <c r="AC40" s="191"/>
    </row>
    <row r="41" spans="1:29" s="118" customFormat="1" ht="23.25" customHeight="1" x14ac:dyDescent="0.25">
      <c r="A41" s="133" t="s">
        <v>1681</v>
      </c>
      <c r="B41" s="127" t="str">
        <f ca="1">Data!C2</f>
        <v>2021</v>
      </c>
      <c r="C41" s="128">
        <f ca="1">Data!C2-1</f>
        <v>2020</v>
      </c>
      <c r="D41" s="129" t="str">
        <f ca="1">Data!C2</f>
        <v>2021</v>
      </c>
      <c r="E41" s="128">
        <f ca="1">Data!C2-1</f>
        <v>2020</v>
      </c>
      <c r="F41" s="129" t="str">
        <f ca="1">Data!C2</f>
        <v>2021</v>
      </c>
      <c r="G41" s="128">
        <f ca="1">Data!C2-1</f>
        <v>2020</v>
      </c>
      <c r="H41" s="129" t="str">
        <f ca="1">Data!C2</f>
        <v>2021</v>
      </c>
      <c r="I41" s="128">
        <f ca="1">Data!C2-1</f>
        <v>2020</v>
      </c>
      <c r="J41" s="129" t="str">
        <f ca="1">Data!C2</f>
        <v>2021</v>
      </c>
      <c r="K41" s="128">
        <f ca="1">Data!C2-1</f>
        <v>2020</v>
      </c>
      <c r="L41" s="129" t="str">
        <f ca="1">Data!C2</f>
        <v>2021</v>
      </c>
      <c r="M41" s="128">
        <f ca="1">Data!C2-1</f>
        <v>2020</v>
      </c>
      <c r="N41" s="129" t="str">
        <f ca="1">Data!C2</f>
        <v>2021</v>
      </c>
      <c r="O41" s="128">
        <f ca="1">Data!C2-1</f>
        <v>2020</v>
      </c>
      <c r="P41" s="129" t="str">
        <f ca="1">Data!C2</f>
        <v>2021</v>
      </c>
      <c r="Q41" s="128">
        <f ca="1">Data!C2-1</f>
        <v>2020</v>
      </c>
      <c r="R41" s="129" t="str">
        <f ca="1">Data!C2</f>
        <v>2021</v>
      </c>
      <c r="S41" s="128">
        <f ca="1">Data!C2-1</f>
        <v>2020</v>
      </c>
      <c r="T41" s="129" t="str">
        <f ca="1">Data!C2</f>
        <v>2021</v>
      </c>
      <c r="U41" s="128">
        <f ca="1">Data!C2-1</f>
        <v>2020</v>
      </c>
      <c r="V41" s="129" t="str">
        <f ca="1">Data!C2</f>
        <v>2021</v>
      </c>
      <c r="W41" s="128">
        <f ca="1">Data!C2-1</f>
        <v>2020</v>
      </c>
      <c r="X41" s="129" t="str">
        <f ca="1">Data!C2</f>
        <v>2021</v>
      </c>
      <c r="Y41" s="128">
        <f ca="1">Data!C2-1</f>
        <v>2020</v>
      </c>
      <c r="Z41" s="129" t="str">
        <f ca="1">Data!C2</f>
        <v>2021</v>
      </c>
      <c r="AA41" s="128">
        <f ca="1">Data!C2-1</f>
        <v>2020</v>
      </c>
      <c r="AB41" s="129" t="str">
        <f ca="1">Data!C2</f>
        <v>2021</v>
      </c>
      <c r="AC41" s="130">
        <f ca="1">Data!C2-1</f>
        <v>2020</v>
      </c>
    </row>
    <row r="42" spans="1:29" ht="33" customHeight="1" x14ac:dyDescent="0.25">
      <c r="A42" s="119" t="s">
        <v>943</v>
      </c>
      <c r="B42" s="126"/>
      <c r="C42" s="120"/>
      <c r="D42" s="120" t="s">
        <v>1585</v>
      </c>
      <c r="E42" s="120" t="s">
        <v>1585</v>
      </c>
      <c r="F42" s="120" t="s">
        <v>1585</v>
      </c>
      <c r="G42" s="120" t="s">
        <v>1585</v>
      </c>
      <c r="H42" s="120" t="s">
        <v>1585</v>
      </c>
      <c r="I42" s="120" t="s">
        <v>1585</v>
      </c>
      <c r="J42" s="120" t="s">
        <v>1585</v>
      </c>
      <c r="K42" s="120" t="s">
        <v>1585</v>
      </c>
      <c r="L42" s="120" t="s">
        <v>1585</v>
      </c>
      <c r="M42" s="120" t="s">
        <v>1585</v>
      </c>
      <c r="N42" s="120" t="s">
        <v>1585</v>
      </c>
      <c r="O42" s="120" t="s">
        <v>1585</v>
      </c>
      <c r="P42" s="120" t="s">
        <v>1585</v>
      </c>
      <c r="Q42" s="120" t="s">
        <v>1585</v>
      </c>
      <c r="R42" s="120" t="s">
        <v>1585</v>
      </c>
      <c r="S42" s="120" t="s">
        <v>1585</v>
      </c>
      <c r="T42" s="120" t="s">
        <v>1585</v>
      </c>
      <c r="U42" s="120" t="s">
        <v>1585</v>
      </c>
      <c r="V42" s="120" t="s">
        <v>1585</v>
      </c>
      <c r="W42" s="120" t="s">
        <v>1585</v>
      </c>
      <c r="X42" s="120" t="s">
        <v>1585</v>
      </c>
      <c r="Y42" s="120" t="s">
        <v>1585</v>
      </c>
      <c r="Z42" s="121" t="s">
        <v>1585</v>
      </c>
      <c r="AA42" s="121" t="s">
        <v>1585</v>
      </c>
      <c r="AB42" s="121" t="s">
        <v>1585</v>
      </c>
      <c r="AC42" s="121" t="s">
        <v>1585</v>
      </c>
    </row>
    <row r="43" spans="1:29" ht="33" customHeight="1" x14ac:dyDescent="0.25">
      <c r="A43" s="119" t="s">
        <v>944</v>
      </c>
      <c r="B43" s="126"/>
      <c r="C43" s="121" t="s">
        <v>1585</v>
      </c>
      <c r="D43" s="121" t="s">
        <v>1585</v>
      </c>
      <c r="E43" s="121" t="s">
        <v>1585</v>
      </c>
      <c r="F43" s="121" t="s">
        <v>1585</v>
      </c>
      <c r="G43" s="121" t="s">
        <v>1585</v>
      </c>
      <c r="H43" s="121" t="s">
        <v>1585</v>
      </c>
      <c r="I43" s="121" t="s">
        <v>1585</v>
      </c>
      <c r="J43" s="121" t="s">
        <v>1585</v>
      </c>
      <c r="K43" s="121" t="s">
        <v>1585</v>
      </c>
      <c r="L43" s="121" t="s">
        <v>1585</v>
      </c>
      <c r="M43" s="121" t="s">
        <v>1585</v>
      </c>
      <c r="N43" s="121" t="s">
        <v>1585</v>
      </c>
      <c r="O43" s="121" t="s">
        <v>1585</v>
      </c>
      <c r="P43" s="121" t="s">
        <v>1585</v>
      </c>
      <c r="Q43" s="121" t="s">
        <v>1585</v>
      </c>
      <c r="R43" s="121" t="s">
        <v>1585</v>
      </c>
      <c r="S43" s="121" t="s">
        <v>1585</v>
      </c>
      <c r="T43" s="121" t="s">
        <v>1585</v>
      </c>
      <c r="U43" s="121" t="s">
        <v>1585</v>
      </c>
      <c r="V43" s="121" t="s">
        <v>1585</v>
      </c>
      <c r="W43" s="121" t="s">
        <v>1585</v>
      </c>
      <c r="X43" s="121" t="s">
        <v>1585</v>
      </c>
      <c r="Y43" s="121" t="s">
        <v>1585</v>
      </c>
      <c r="Z43" s="121" t="s">
        <v>1585</v>
      </c>
      <c r="AA43" s="121" t="s">
        <v>1585</v>
      </c>
      <c r="AB43" s="121" t="s">
        <v>1585</v>
      </c>
      <c r="AC43" s="121" t="s">
        <v>1585</v>
      </c>
    </row>
    <row r="44" spans="1:29" ht="33" customHeight="1" x14ac:dyDescent="0.25">
      <c r="A44" s="122" t="s">
        <v>945</v>
      </c>
      <c r="B44" s="126" t="s">
        <v>1585</v>
      </c>
      <c r="C44" s="121" t="s">
        <v>1585</v>
      </c>
      <c r="D44" s="121" t="s">
        <v>1585</v>
      </c>
      <c r="E44" s="121" t="s">
        <v>1585</v>
      </c>
      <c r="F44" s="121" t="s">
        <v>1585</v>
      </c>
      <c r="G44" s="121" t="s">
        <v>1585</v>
      </c>
      <c r="H44" s="121" t="s">
        <v>1585</v>
      </c>
      <c r="I44" s="121" t="s">
        <v>1585</v>
      </c>
      <c r="J44" s="121" t="s">
        <v>1585</v>
      </c>
      <c r="K44" s="121" t="s">
        <v>1585</v>
      </c>
      <c r="L44" s="121" t="s">
        <v>1585</v>
      </c>
      <c r="M44" s="121" t="s">
        <v>1585</v>
      </c>
      <c r="N44" s="121" t="s">
        <v>1585</v>
      </c>
      <c r="O44" s="121" t="s">
        <v>1585</v>
      </c>
      <c r="P44" s="121" t="s">
        <v>1585</v>
      </c>
      <c r="Q44" s="121" t="s">
        <v>1585</v>
      </c>
      <c r="R44" s="121" t="s">
        <v>1585</v>
      </c>
      <c r="S44" s="121" t="s">
        <v>1585</v>
      </c>
      <c r="T44" s="121" t="s">
        <v>1585</v>
      </c>
      <c r="U44" s="121" t="s">
        <v>1585</v>
      </c>
      <c r="V44" s="121" t="s">
        <v>1585</v>
      </c>
      <c r="W44" s="121" t="s">
        <v>1585</v>
      </c>
      <c r="X44" s="121" t="s">
        <v>1585</v>
      </c>
      <c r="Y44" s="121" t="s">
        <v>1585</v>
      </c>
      <c r="Z44" s="121" t="s">
        <v>1585</v>
      </c>
      <c r="AA44" s="121" t="s">
        <v>1585</v>
      </c>
      <c r="AB44" s="121" t="s">
        <v>1585</v>
      </c>
      <c r="AC44" s="121" t="s">
        <v>1585</v>
      </c>
    </row>
    <row r="45" spans="1:29" ht="21" customHeight="1" x14ac:dyDescent="0.25">
      <c r="A45" s="135" t="s">
        <v>946</v>
      </c>
      <c r="B45" s="136" t="s">
        <v>1585</v>
      </c>
      <c r="C45" s="136" t="s">
        <v>1585</v>
      </c>
      <c r="D45" s="136" t="s">
        <v>1585</v>
      </c>
      <c r="E45" s="136" t="s">
        <v>1585</v>
      </c>
      <c r="F45" s="136" t="s">
        <v>1585</v>
      </c>
      <c r="G45" s="136" t="s">
        <v>1585</v>
      </c>
      <c r="H45" s="136" t="s">
        <v>1585</v>
      </c>
      <c r="I45" s="136" t="s">
        <v>1585</v>
      </c>
      <c r="J45" s="136" t="s">
        <v>1585</v>
      </c>
      <c r="K45" s="136" t="s">
        <v>1585</v>
      </c>
      <c r="L45" s="136" t="s">
        <v>1585</v>
      </c>
      <c r="M45" s="136" t="s">
        <v>1585</v>
      </c>
      <c r="N45" s="136" t="s">
        <v>1585</v>
      </c>
      <c r="O45" s="136" t="s">
        <v>1585</v>
      </c>
      <c r="P45" s="136" t="s">
        <v>1585</v>
      </c>
      <c r="Q45" s="136" t="s">
        <v>1585</v>
      </c>
      <c r="R45" s="136" t="s">
        <v>1585</v>
      </c>
      <c r="S45" s="136" t="s">
        <v>1585</v>
      </c>
      <c r="T45" s="136" t="s">
        <v>1585</v>
      </c>
      <c r="U45" s="136" t="s">
        <v>1585</v>
      </c>
      <c r="V45" s="136" t="s">
        <v>1585</v>
      </c>
      <c r="W45" s="136" t="s">
        <v>1585</v>
      </c>
      <c r="X45" s="136" t="s">
        <v>1585</v>
      </c>
      <c r="Y45" s="136" t="s">
        <v>1585</v>
      </c>
      <c r="Z45" s="136" t="s">
        <v>1585</v>
      </c>
      <c r="AA45" s="136" t="s">
        <v>1585</v>
      </c>
      <c r="AB45" s="136" t="s">
        <v>1585</v>
      </c>
      <c r="AC45" s="136" t="s">
        <v>1585</v>
      </c>
    </row>
    <row r="46" spans="1:29" ht="33" customHeight="1" x14ac:dyDescent="0.25">
      <c r="A46" s="122" t="s">
        <v>947</v>
      </c>
      <c r="B46" s="126"/>
      <c r="C46" s="121" t="s">
        <v>1585</v>
      </c>
      <c r="D46" s="121" t="s">
        <v>1585</v>
      </c>
      <c r="E46" s="121" t="s">
        <v>1585</v>
      </c>
      <c r="F46" s="121" t="s">
        <v>1585</v>
      </c>
      <c r="G46" s="121" t="s">
        <v>1585</v>
      </c>
      <c r="H46" s="121" t="s">
        <v>1585</v>
      </c>
      <c r="I46" s="121" t="s">
        <v>1585</v>
      </c>
      <c r="J46" s="121" t="s">
        <v>1585</v>
      </c>
      <c r="K46" s="121" t="s">
        <v>1585</v>
      </c>
      <c r="L46" s="121" t="s">
        <v>1585</v>
      </c>
      <c r="M46" s="121" t="s">
        <v>1585</v>
      </c>
      <c r="N46" s="121" t="s">
        <v>1585</v>
      </c>
      <c r="O46" s="121" t="s">
        <v>1585</v>
      </c>
      <c r="P46" s="121" t="s">
        <v>1585</v>
      </c>
      <c r="Q46" s="121" t="s">
        <v>1585</v>
      </c>
      <c r="R46" s="121" t="s">
        <v>1585</v>
      </c>
      <c r="S46" s="121" t="s">
        <v>1585</v>
      </c>
      <c r="T46" s="121" t="s">
        <v>1585</v>
      </c>
      <c r="U46" s="121" t="s">
        <v>1585</v>
      </c>
      <c r="V46" s="121" t="s">
        <v>1585</v>
      </c>
      <c r="W46" s="121" t="s">
        <v>1585</v>
      </c>
      <c r="X46" s="121" t="s">
        <v>1585</v>
      </c>
      <c r="Y46" s="121" t="s">
        <v>1585</v>
      </c>
      <c r="Z46" s="121" t="s">
        <v>1585</v>
      </c>
      <c r="AA46" s="121" t="s">
        <v>1585</v>
      </c>
      <c r="AB46" s="121" t="s">
        <v>1585</v>
      </c>
      <c r="AC46" s="121" t="s">
        <v>1585</v>
      </c>
    </row>
    <row r="47" spans="1:29" ht="33" customHeight="1" x14ac:dyDescent="0.25">
      <c r="A47" s="122" t="s">
        <v>948</v>
      </c>
      <c r="B47" s="126" t="s">
        <v>1585</v>
      </c>
      <c r="C47" s="121" t="s">
        <v>1585</v>
      </c>
      <c r="D47" s="121" t="s">
        <v>1585</v>
      </c>
      <c r="E47" s="121" t="s">
        <v>1585</v>
      </c>
      <c r="F47" s="121" t="s">
        <v>1585</v>
      </c>
      <c r="G47" s="121" t="s">
        <v>1585</v>
      </c>
      <c r="H47" s="121" t="s">
        <v>1585</v>
      </c>
      <c r="I47" s="121" t="s">
        <v>1585</v>
      </c>
      <c r="J47" s="121" t="s">
        <v>1585</v>
      </c>
      <c r="K47" s="121" t="s">
        <v>1585</v>
      </c>
      <c r="L47" s="121" t="s">
        <v>1585</v>
      </c>
      <c r="M47" s="121" t="s">
        <v>1585</v>
      </c>
      <c r="N47" s="121" t="s">
        <v>1585</v>
      </c>
      <c r="O47" s="121" t="s">
        <v>1585</v>
      </c>
      <c r="P47" s="121" t="s">
        <v>1585</v>
      </c>
      <c r="Q47" s="121" t="s">
        <v>1585</v>
      </c>
      <c r="R47" s="121" t="s">
        <v>1585</v>
      </c>
      <c r="S47" s="121" t="s">
        <v>1585</v>
      </c>
      <c r="T47" s="121" t="s">
        <v>1585</v>
      </c>
      <c r="U47" s="121" t="s">
        <v>1585</v>
      </c>
      <c r="V47" s="121" t="s">
        <v>1585</v>
      </c>
      <c r="W47" s="121" t="s">
        <v>1585</v>
      </c>
      <c r="X47" s="121" t="s">
        <v>1585</v>
      </c>
      <c r="Y47" s="121" t="s">
        <v>1585</v>
      </c>
      <c r="Z47" s="121" t="s">
        <v>1585</v>
      </c>
      <c r="AA47" s="121" t="s">
        <v>1585</v>
      </c>
      <c r="AB47" s="121" t="s">
        <v>1585</v>
      </c>
      <c r="AC47" s="121" t="s">
        <v>1585</v>
      </c>
    </row>
    <row r="48" spans="1:29" ht="21" customHeight="1" x14ac:dyDescent="0.25">
      <c r="A48" s="135" t="s">
        <v>949</v>
      </c>
      <c r="B48" s="136" t="s">
        <v>1585</v>
      </c>
      <c r="C48" s="136" t="s">
        <v>1585</v>
      </c>
      <c r="D48" s="136" t="s">
        <v>1585</v>
      </c>
      <c r="E48" s="136" t="s">
        <v>1585</v>
      </c>
      <c r="F48" s="136" t="s">
        <v>1585</v>
      </c>
      <c r="G48" s="136" t="s">
        <v>1585</v>
      </c>
      <c r="H48" s="136" t="s">
        <v>1585</v>
      </c>
      <c r="I48" s="136" t="s">
        <v>1585</v>
      </c>
      <c r="J48" s="136" t="s">
        <v>1585</v>
      </c>
      <c r="K48" s="136" t="s">
        <v>1585</v>
      </c>
      <c r="L48" s="136" t="s">
        <v>1585</v>
      </c>
      <c r="M48" s="136" t="s">
        <v>1585</v>
      </c>
      <c r="N48" s="136" t="s">
        <v>1585</v>
      </c>
      <c r="O48" s="136" t="s">
        <v>1585</v>
      </c>
      <c r="P48" s="136" t="s">
        <v>1585</v>
      </c>
      <c r="Q48" s="136" t="s">
        <v>1585</v>
      </c>
      <c r="R48" s="136" t="s">
        <v>1585</v>
      </c>
      <c r="S48" s="136" t="s">
        <v>1585</v>
      </c>
      <c r="T48" s="136" t="s">
        <v>1585</v>
      </c>
      <c r="U48" s="136" t="s">
        <v>1585</v>
      </c>
      <c r="V48" s="136" t="s">
        <v>1585</v>
      </c>
      <c r="W48" s="136" t="s">
        <v>1585</v>
      </c>
      <c r="X48" s="136" t="s">
        <v>1585</v>
      </c>
      <c r="Y48" s="136" t="s">
        <v>1585</v>
      </c>
      <c r="Z48" s="136" t="s">
        <v>1585</v>
      </c>
      <c r="AA48" s="136" t="s">
        <v>1585</v>
      </c>
      <c r="AB48" s="136" t="s">
        <v>1585</v>
      </c>
      <c r="AC48" s="136" t="s">
        <v>1585</v>
      </c>
    </row>
    <row r="49" spans="1:29" ht="16.5" customHeight="1" x14ac:dyDescent="0.25">
      <c r="A49" s="192" t="s">
        <v>941</v>
      </c>
      <c r="B49" s="192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6.5" customHeight="1" x14ac:dyDescent="0.25"/>
    <row r="52" spans="1:29" x14ac:dyDescent="0.25">
      <c r="A52" s="125"/>
    </row>
    <row r="53" spans="1:29" s="20" customFormat="1" ht="16.5" customHeight="1" x14ac:dyDescent="0.25">
      <c r="B53" s="190"/>
      <c r="C53" s="190"/>
      <c r="D53" s="190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190"/>
      <c r="C54" s="190"/>
      <c r="D54" s="190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190"/>
      <c r="C55" s="190"/>
      <c r="D55" s="190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66" t="s">
        <v>1676</v>
      </c>
      <c r="C56" s="166"/>
      <c r="D56" s="166"/>
      <c r="F56" s="166" t="s">
        <v>1683</v>
      </c>
      <c r="G56" s="166"/>
      <c r="H56" s="166"/>
      <c r="J56" s="166" t="s">
        <v>1582</v>
      </c>
      <c r="K56" s="166"/>
      <c r="L56" s="166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  <mergeCell ref="A39:AC39"/>
    <mergeCell ref="J40:K40"/>
    <mergeCell ref="L40:M40"/>
    <mergeCell ref="A38:AC38"/>
    <mergeCell ref="A37:AC37"/>
    <mergeCell ref="B56:D56"/>
    <mergeCell ref="B40:C40"/>
    <mergeCell ref="D40:E40"/>
    <mergeCell ref="F40:G40"/>
    <mergeCell ref="H40:I40"/>
    <mergeCell ref="F56:H56"/>
    <mergeCell ref="A49:B49"/>
    <mergeCell ref="B53:D55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3"/>
  <sheetViews>
    <sheetView topLeftCell="J1" workbookViewId="0">
      <selection activeCell="N18" sqref="N18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2021 al 28 de Febrero de 2021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IF(Data!B2=Data!K203,Data!L203,""))))))))))))))))))))))))))))))))))))))))))))))))))</f>
        <v/>
      </c>
      <c r="S1" s="2" t="str">
        <f ca="1">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IF(Data!B2=Data!K253,Data!L253,""))))))))))))))))))))))))))))))))))))))))))))))))))</f>
        <v/>
      </c>
      <c r="T1" s="2" t="str">
        <f ca="1">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IF(Data!B2=Data!K303,Data!L303,""))))))))))))))))))))))))))))))))))))))))))))))))))</f>
        <v/>
      </c>
      <c r="U1" s="2" t="str">
        <f ca="1">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IF(Data!B2=Data!K353,Data!L353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14161T22021</v>
      </c>
      <c r="B2" t="str">
        <f ca="1">LEFT(A2,LEN(A2)-6)</f>
        <v>14161</v>
      </c>
      <c r="C2" t="str">
        <f ca="1">RIGHT(A2,4)</f>
        <v>2021</v>
      </c>
      <c r="D2" t="str">
        <f ca="1">LEFT(RIGHT(A2,6),2)</f>
        <v>T2</v>
      </c>
      <c r="F2" s="2" t="s">
        <v>360</v>
      </c>
      <c r="G2" s="2" t="s">
        <v>907</v>
      </c>
      <c r="H2" s="2" t="str">
        <f ca="1">"01 de Marzo de "&amp;C2&amp;" al 30 de Abril de "&amp;C2</f>
        <v>01 de Marzo de 2021 al 30 de Abril de 2021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2021 al 30 de Junio de 2021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2021 al 31 de Agosto de 2021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2021 al 31 de Octubre de 2021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2021 al 31 de Diciembre de 2021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2021 al 31 de Marzo de 2021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2021 al 30 de Junio de 2021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2021 al 30 de Setiembre de 2021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2021 al 31 de Diciembre de 2021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2021 al 30 de Abril de 2021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2021 al 31 de Agosto de 2021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2021 al 31 de Diciembre de 2021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2021 al 30 de Junio de 2021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2021 al 31 de Diciembre de 2021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2021 al 31 de Diciembre de 2021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1691</v>
      </c>
      <c r="L166" s="2" t="s">
        <v>1692</v>
      </c>
    </row>
    <row r="167" spans="11:12" x14ac:dyDescent="0.25">
      <c r="K167" s="2" t="s">
        <v>1428</v>
      </c>
      <c r="L167" s="2" t="s">
        <v>1113</v>
      </c>
    </row>
    <row r="168" spans="11:12" x14ac:dyDescent="0.25">
      <c r="K168" s="2" t="s">
        <v>1429</v>
      </c>
      <c r="L168" s="2" t="s">
        <v>1114</v>
      </c>
    </row>
    <row r="169" spans="11:12" x14ac:dyDescent="0.25">
      <c r="K169" s="2" t="s">
        <v>1430</v>
      </c>
      <c r="L169" s="2" t="s">
        <v>1115</v>
      </c>
    </row>
    <row r="170" spans="11:12" x14ac:dyDescent="0.25">
      <c r="K170" s="2" t="s">
        <v>1431</v>
      </c>
      <c r="L170" s="2" t="s">
        <v>1116</v>
      </c>
    </row>
    <row r="171" spans="11:12" x14ac:dyDescent="0.25">
      <c r="K171" s="2" t="s">
        <v>1432</v>
      </c>
      <c r="L171" s="2" t="s">
        <v>1117</v>
      </c>
    </row>
    <row r="172" spans="11:12" x14ac:dyDescent="0.25">
      <c r="K172" s="2" t="s">
        <v>1433</v>
      </c>
      <c r="L172" s="2" t="s">
        <v>1118</v>
      </c>
    </row>
    <row r="173" spans="11:12" x14ac:dyDescent="0.25">
      <c r="K173" s="2" t="s">
        <v>1434</v>
      </c>
      <c r="L173" s="2" t="s">
        <v>1119</v>
      </c>
    </row>
    <row r="174" spans="11:12" x14ac:dyDescent="0.25">
      <c r="K174" s="2" t="s">
        <v>1435</v>
      </c>
      <c r="L174" s="2" t="s">
        <v>1120</v>
      </c>
    </row>
    <row r="175" spans="11:12" x14ac:dyDescent="0.25">
      <c r="K175" s="2" t="s">
        <v>1436</v>
      </c>
      <c r="L175" s="2" t="s">
        <v>1121</v>
      </c>
    </row>
    <row r="176" spans="11:12" x14ac:dyDescent="0.25">
      <c r="K176" s="2" t="s">
        <v>1437</v>
      </c>
      <c r="L176" s="2" t="s">
        <v>1122</v>
      </c>
    </row>
    <row r="177" spans="11:12" x14ac:dyDescent="0.25">
      <c r="K177" s="2" t="s">
        <v>1438</v>
      </c>
      <c r="L177" s="2" t="s">
        <v>1123</v>
      </c>
    </row>
    <row r="178" spans="11:12" x14ac:dyDescent="0.25">
      <c r="K178" s="2" t="s">
        <v>1439</v>
      </c>
      <c r="L178" s="2" t="s">
        <v>1124</v>
      </c>
    </row>
    <row r="179" spans="11:12" x14ac:dyDescent="0.25">
      <c r="K179" s="2" t="s">
        <v>1440</v>
      </c>
      <c r="L179" s="2" t="s">
        <v>1125</v>
      </c>
    </row>
    <row r="180" spans="11:12" x14ac:dyDescent="0.25">
      <c r="K180" s="2" t="s">
        <v>1441</v>
      </c>
      <c r="L180" s="2" t="s">
        <v>1126</v>
      </c>
    </row>
    <row r="181" spans="11:12" x14ac:dyDescent="0.25">
      <c r="K181" s="2" t="s">
        <v>1442</v>
      </c>
      <c r="L181" s="2" t="s">
        <v>1127</v>
      </c>
    </row>
    <row r="182" spans="11:12" x14ac:dyDescent="0.25">
      <c r="K182" s="2" t="s">
        <v>1443</v>
      </c>
      <c r="L182" s="2" t="s">
        <v>1128</v>
      </c>
    </row>
    <row r="183" spans="11:12" x14ac:dyDescent="0.25">
      <c r="K183" s="2" t="s">
        <v>1444</v>
      </c>
      <c r="L183" s="2" t="s">
        <v>1129</v>
      </c>
    </row>
    <row r="184" spans="11:12" x14ac:dyDescent="0.25">
      <c r="K184" s="2" t="s">
        <v>1445</v>
      </c>
      <c r="L184" s="2" t="s">
        <v>1130</v>
      </c>
    </row>
    <row r="185" spans="11:12" x14ac:dyDescent="0.25">
      <c r="K185" s="2" t="s">
        <v>1446</v>
      </c>
      <c r="L185" s="2" t="s">
        <v>1131</v>
      </c>
    </row>
    <row r="186" spans="11:12" x14ac:dyDescent="0.25">
      <c r="K186" s="2" t="s">
        <v>1447</v>
      </c>
      <c r="L186" s="2" t="s">
        <v>1132</v>
      </c>
    </row>
    <row r="187" spans="11:12" x14ac:dyDescent="0.25">
      <c r="K187" s="2" t="s">
        <v>1448</v>
      </c>
      <c r="L187" s="2" t="s">
        <v>1133</v>
      </c>
    </row>
    <row r="188" spans="11:12" x14ac:dyDescent="0.25">
      <c r="K188" s="2" t="s">
        <v>1449</v>
      </c>
      <c r="L188" s="2" t="s">
        <v>1134</v>
      </c>
    </row>
    <row r="189" spans="11:12" x14ac:dyDescent="0.25">
      <c r="K189" s="2" t="s">
        <v>1450</v>
      </c>
      <c r="L189" s="2" t="s">
        <v>1135</v>
      </c>
    </row>
    <row r="190" spans="11:12" x14ac:dyDescent="0.25">
      <c r="K190" s="2" t="s">
        <v>1451</v>
      </c>
      <c r="L190" s="2" t="s">
        <v>1136</v>
      </c>
    </row>
    <row r="191" spans="11:12" x14ac:dyDescent="0.25">
      <c r="K191" s="2" t="s">
        <v>1452</v>
      </c>
      <c r="L191" s="2" t="s">
        <v>1137</v>
      </c>
    </row>
    <row r="192" spans="11:12" x14ac:dyDescent="0.25">
      <c r="K192" s="2" t="s">
        <v>1453</v>
      </c>
      <c r="L192" s="2" t="s">
        <v>1138</v>
      </c>
    </row>
    <row r="193" spans="11:12" x14ac:dyDescent="0.25">
      <c r="K193" s="2" t="s">
        <v>1454</v>
      </c>
      <c r="L193" s="2" t="s">
        <v>1139</v>
      </c>
    </row>
    <row r="194" spans="11:12" x14ac:dyDescent="0.25">
      <c r="K194" s="2" t="s">
        <v>1455</v>
      </c>
      <c r="L194" s="2" t="s">
        <v>1140</v>
      </c>
    </row>
    <row r="195" spans="11:12" x14ac:dyDescent="0.25">
      <c r="K195" s="2" t="s">
        <v>1456</v>
      </c>
      <c r="L195" s="2" t="s">
        <v>1141</v>
      </c>
    </row>
    <row r="196" spans="11:12" x14ac:dyDescent="0.25">
      <c r="K196" s="2" t="s">
        <v>1457</v>
      </c>
      <c r="L196" s="2" t="s">
        <v>1142</v>
      </c>
    </row>
    <row r="197" spans="11:12" x14ac:dyDescent="0.25">
      <c r="K197" s="2" t="s">
        <v>1458</v>
      </c>
      <c r="L197" s="2" t="s">
        <v>1143</v>
      </c>
    </row>
    <row r="198" spans="11:12" x14ac:dyDescent="0.25">
      <c r="K198" s="2" t="s">
        <v>1459</v>
      </c>
      <c r="L198" s="2" t="s">
        <v>1144</v>
      </c>
    </row>
    <row r="199" spans="11:12" x14ac:dyDescent="0.25">
      <c r="K199" s="2" t="s">
        <v>1460</v>
      </c>
      <c r="L199" s="2" t="s">
        <v>1145</v>
      </c>
    </row>
    <row r="200" spans="11:12" x14ac:dyDescent="0.25">
      <c r="K200" s="2" t="s">
        <v>1461</v>
      </c>
      <c r="L200" s="2" t="s">
        <v>1146</v>
      </c>
    </row>
    <row r="201" spans="11:12" x14ac:dyDescent="0.25">
      <c r="K201" s="2" t="s">
        <v>1462</v>
      </c>
      <c r="L201" s="2" t="s">
        <v>1147</v>
      </c>
    </row>
    <row r="202" spans="11:12" x14ac:dyDescent="0.25">
      <c r="K202" s="2" t="s">
        <v>1463</v>
      </c>
      <c r="L202" s="2" t="s">
        <v>1148</v>
      </c>
    </row>
    <row r="203" spans="11:12" x14ac:dyDescent="0.25">
      <c r="K203" s="2" t="s">
        <v>1464</v>
      </c>
      <c r="L203" s="2" t="s">
        <v>1149</v>
      </c>
    </row>
    <row r="204" spans="11:12" x14ac:dyDescent="0.25">
      <c r="K204" s="2" t="s">
        <v>1465</v>
      </c>
      <c r="L204" s="2" t="s">
        <v>1150</v>
      </c>
    </row>
    <row r="205" spans="11:12" x14ac:dyDescent="0.25">
      <c r="K205" s="2" t="s">
        <v>1466</v>
      </c>
      <c r="L205" s="2" t="s">
        <v>1151</v>
      </c>
    </row>
    <row r="206" spans="11:12" x14ac:dyDescent="0.25">
      <c r="K206" s="2" t="s">
        <v>1467</v>
      </c>
      <c r="L206" s="2" t="s">
        <v>1152</v>
      </c>
    </row>
    <row r="207" spans="11:12" x14ac:dyDescent="0.25">
      <c r="K207" s="2" t="s">
        <v>1468</v>
      </c>
      <c r="L207" s="2" t="s">
        <v>1153</v>
      </c>
    </row>
    <row r="208" spans="11:12" x14ac:dyDescent="0.25">
      <c r="K208" s="2" t="s">
        <v>1469</v>
      </c>
      <c r="L208" s="2" t="s">
        <v>1154</v>
      </c>
    </row>
    <row r="209" spans="11:12" x14ac:dyDescent="0.25">
      <c r="K209" s="2" t="s">
        <v>1470</v>
      </c>
      <c r="L209" s="2" t="s">
        <v>1155</v>
      </c>
    </row>
    <row r="210" spans="11:12" x14ac:dyDescent="0.25">
      <c r="K210" s="2" t="s">
        <v>1471</v>
      </c>
      <c r="L210" s="2" t="s">
        <v>1156</v>
      </c>
    </row>
    <row r="211" spans="11:12" x14ac:dyDescent="0.25">
      <c r="K211" s="2" t="s">
        <v>1472</v>
      </c>
      <c r="L211" s="2" t="s">
        <v>1157</v>
      </c>
    </row>
    <row r="212" spans="11:12" x14ac:dyDescent="0.25">
      <c r="K212" s="2" t="s">
        <v>1473</v>
      </c>
      <c r="L212" s="2" t="s">
        <v>1158</v>
      </c>
    </row>
    <row r="213" spans="11:12" x14ac:dyDescent="0.25">
      <c r="K213" s="2" t="s">
        <v>1474</v>
      </c>
      <c r="L213" s="2" t="s">
        <v>1159</v>
      </c>
    </row>
    <row r="214" spans="11:12" x14ac:dyDescent="0.25">
      <c r="K214" s="2" t="s">
        <v>1475</v>
      </c>
      <c r="L214" s="2" t="s">
        <v>1160</v>
      </c>
    </row>
    <row r="215" spans="11:12" x14ac:dyDescent="0.25">
      <c r="K215" s="2" t="s">
        <v>1476</v>
      </c>
      <c r="L215" s="2" t="s">
        <v>1161</v>
      </c>
    </row>
    <row r="216" spans="11:12" x14ac:dyDescent="0.25">
      <c r="K216" s="2" t="s">
        <v>1477</v>
      </c>
      <c r="L216" s="2" t="s">
        <v>1162</v>
      </c>
    </row>
    <row r="217" spans="11:12" x14ac:dyDescent="0.25">
      <c r="K217" s="2" t="s">
        <v>1478</v>
      </c>
      <c r="L217" s="2" t="s">
        <v>1163</v>
      </c>
    </row>
    <row r="218" spans="11:12" x14ac:dyDescent="0.25">
      <c r="K218" s="2" t="s">
        <v>1479</v>
      </c>
      <c r="L218" s="2" t="s">
        <v>1164</v>
      </c>
    </row>
    <row r="219" spans="11:12" x14ac:dyDescent="0.25">
      <c r="K219" s="2" t="s">
        <v>1480</v>
      </c>
      <c r="L219" s="2" t="s">
        <v>1165</v>
      </c>
    </row>
    <row r="220" spans="11:12" x14ac:dyDescent="0.25">
      <c r="K220" s="2" t="s">
        <v>1481</v>
      </c>
      <c r="L220" s="2" t="s">
        <v>1166</v>
      </c>
    </row>
    <row r="221" spans="11:12" x14ac:dyDescent="0.25">
      <c r="K221" s="2" t="s">
        <v>1482</v>
      </c>
      <c r="L221" s="2" t="s">
        <v>1167</v>
      </c>
    </row>
    <row r="222" spans="11:12" x14ac:dyDescent="0.25">
      <c r="K222" s="2" t="s">
        <v>1483</v>
      </c>
      <c r="L222" s="2" t="s">
        <v>1168</v>
      </c>
    </row>
    <row r="223" spans="11:12" x14ac:dyDescent="0.25">
      <c r="K223" s="2" t="s">
        <v>1484</v>
      </c>
      <c r="L223" s="2" t="s">
        <v>1169</v>
      </c>
    </row>
    <row r="224" spans="11:12" x14ac:dyDescent="0.25">
      <c r="K224" s="2" t="s">
        <v>1485</v>
      </c>
      <c r="L224" s="2" t="s">
        <v>1170</v>
      </c>
    </row>
    <row r="225" spans="11:12" x14ac:dyDescent="0.25">
      <c r="K225" s="2" t="s">
        <v>1486</v>
      </c>
      <c r="L225" s="2" t="s">
        <v>1171</v>
      </c>
    </row>
    <row r="226" spans="11:12" x14ac:dyDescent="0.25">
      <c r="K226" s="2" t="s">
        <v>1487</v>
      </c>
      <c r="L226" s="2" t="s">
        <v>1172</v>
      </c>
    </row>
    <row r="227" spans="11:12" x14ac:dyDescent="0.25">
      <c r="K227" s="2" t="s">
        <v>1488</v>
      </c>
      <c r="L227" s="2" t="s">
        <v>1173</v>
      </c>
    </row>
    <row r="228" spans="11:12" x14ac:dyDescent="0.25">
      <c r="K228" s="2" t="s">
        <v>1489</v>
      </c>
      <c r="L228" s="2" t="s">
        <v>1174</v>
      </c>
    </row>
    <row r="229" spans="11:12" x14ac:dyDescent="0.25">
      <c r="K229" s="2" t="s">
        <v>1490</v>
      </c>
      <c r="L229" s="2" t="s">
        <v>1175</v>
      </c>
    </row>
    <row r="230" spans="11:12" x14ac:dyDescent="0.25">
      <c r="K230" s="2" t="s">
        <v>1491</v>
      </c>
      <c r="L230" s="2" t="s">
        <v>1176</v>
      </c>
    </row>
    <row r="231" spans="11:12" x14ac:dyDescent="0.25">
      <c r="K231" s="2" t="s">
        <v>1492</v>
      </c>
      <c r="L231" s="2" t="s">
        <v>1177</v>
      </c>
    </row>
    <row r="232" spans="11:12" x14ac:dyDescent="0.25">
      <c r="K232" s="2" t="s">
        <v>1493</v>
      </c>
      <c r="L232" s="2" t="s">
        <v>1178</v>
      </c>
    </row>
    <row r="233" spans="11:12" x14ac:dyDescent="0.25">
      <c r="K233" s="2" t="s">
        <v>1494</v>
      </c>
      <c r="L233" s="2" t="s">
        <v>1179</v>
      </c>
    </row>
    <row r="234" spans="11:12" x14ac:dyDescent="0.25">
      <c r="K234" s="2" t="s">
        <v>1495</v>
      </c>
      <c r="L234" s="2" t="s">
        <v>1180</v>
      </c>
    </row>
    <row r="235" spans="11:12" x14ac:dyDescent="0.25">
      <c r="K235" s="2" t="s">
        <v>1496</v>
      </c>
      <c r="L235" s="2" t="s">
        <v>1181</v>
      </c>
    </row>
    <row r="236" spans="11:12" x14ac:dyDescent="0.25">
      <c r="K236" s="2" t="s">
        <v>1497</v>
      </c>
      <c r="L236" s="2" t="s">
        <v>1182</v>
      </c>
    </row>
    <row r="237" spans="11:12" x14ac:dyDescent="0.25">
      <c r="K237" s="2" t="s">
        <v>1498</v>
      </c>
      <c r="L237" s="2" t="s">
        <v>1183</v>
      </c>
    </row>
    <row r="238" spans="11:12" x14ac:dyDescent="0.25">
      <c r="K238" s="2" t="s">
        <v>1499</v>
      </c>
      <c r="L238" s="2" t="s">
        <v>1184</v>
      </c>
    </row>
    <row r="239" spans="11:12" x14ac:dyDescent="0.25">
      <c r="K239" s="2" t="s">
        <v>1500</v>
      </c>
      <c r="L239" s="2" t="s">
        <v>1185</v>
      </c>
    </row>
    <row r="240" spans="11:12" x14ac:dyDescent="0.25">
      <c r="K240" s="2" t="s">
        <v>1501</v>
      </c>
      <c r="L240" s="2" t="s">
        <v>1186</v>
      </c>
    </row>
    <row r="241" spans="11:12" x14ac:dyDescent="0.25">
      <c r="K241" s="2" t="s">
        <v>1502</v>
      </c>
      <c r="L241" s="2" t="s">
        <v>1187</v>
      </c>
    </row>
    <row r="242" spans="11:12" x14ac:dyDescent="0.25">
      <c r="K242" s="2" t="s">
        <v>1503</v>
      </c>
      <c r="L242" s="2" t="s">
        <v>1188</v>
      </c>
    </row>
    <row r="243" spans="11:12" x14ac:dyDescent="0.25">
      <c r="K243" s="2" t="s">
        <v>1504</v>
      </c>
      <c r="L243" s="2" t="s">
        <v>1189</v>
      </c>
    </row>
    <row r="244" spans="11:12" x14ac:dyDescent="0.25">
      <c r="K244" s="2" t="s">
        <v>1505</v>
      </c>
      <c r="L244" s="2" t="s">
        <v>1190</v>
      </c>
    </row>
    <row r="245" spans="11:12" x14ac:dyDescent="0.25">
      <c r="K245" s="2" t="s">
        <v>1506</v>
      </c>
      <c r="L245" s="2" t="s">
        <v>1191</v>
      </c>
    </row>
    <row r="246" spans="11:12" x14ac:dyDescent="0.25">
      <c r="K246" s="2" t="s">
        <v>1507</v>
      </c>
      <c r="L246" s="2" t="s">
        <v>1192</v>
      </c>
    </row>
    <row r="247" spans="11:12" x14ac:dyDescent="0.25">
      <c r="K247" s="2" t="s">
        <v>1508</v>
      </c>
      <c r="L247" s="2" t="s">
        <v>1193</v>
      </c>
    </row>
    <row r="248" spans="11:12" x14ac:dyDescent="0.25">
      <c r="K248" s="2" t="s">
        <v>1509</v>
      </c>
      <c r="L248" s="2" t="s">
        <v>1194</v>
      </c>
    </row>
    <row r="249" spans="11:12" x14ac:dyDescent="0.25">
      <c r="K249" s="2" t="s">
        <v>1510</v>
      </c>
      <c r="L249" s="2" t="s">
        <v>1195</v>
      </c>
    </row>
    <row r="250" spans="11:12" x14ac:dyDescent="0.25">
      <c r="K250" s="2" t="s">
        <v>1511</v>
      </c>
      <c r="L250" s="2" t="s">
        <v>1196</v>
      </c>
    </row>
    <row r="251" spans="11:12" x14ac:dyDescent="0.25">
      <c r="K251" s="2" t="s">
        <v>1512</v>
      </c>
      <c r="L251" s="2" t="s">
        <v>1197</v>
      </c>
    </row>
    <row r="252" spans="11:12" x14ac:dyDescent="0.25">
      <c r="K252" s="2" t="s">
        <v>1513</v>
      </c>
      <c r="L252" s="2" t="s">
        <v>1198</v>
      </c>
    </row>
    <row r="253" spans="11:12" x14ac:dyDescent="0.25">
      <c r="K253" s="2" t="s">
        <v>1514</v>
      </c>
      <c r="L253" s="2" t="s">
        <v>1199</v>
      </c>
    </row>
    <row r="254" spans="11:12" x14ac:dyDescent="0.25">
      <c r="K254" s="2" t="s">
        <v>1515</v>
      </c>
      <c r="L254" s="2" t="s">
        <v>1200</v>
      </c>
    </row>
    <row r="255" spans="11:12" x14ac:dyDescent="0.25">
      <c r="K255" s="2" t="s">
        <v>1516</v>
      </c>
      <c r="L255" s="2" t="s">
        <v>1201</v>
      </c>
    </row>
    <row r="256" spans="11:12" x14ac:dyDescent="0.25">
      <c r="K256" s="2" t="s">
        <v>1517</v>
      </c>
      <c r="L256" s="2" t="s">
        <v>1202</v>
      </c>
    </row>
    <row r="257" spans="11:12" x14ac:dyDescent="0.25">
      <c r="K257" s="2" t="s">
        <v>1518</v>
      </c>
      <c r="L257" s="2" t="s">
        <v>1203</v>
      </c>
    </row>
    <row r="258" spans="11:12" x14ac:dyDescent="0.25">
      <c r="K258" s="2" t="s">
        <v>1519</v>
      </c>
      <c r="L258" s="2" t="s">
        <v>1204</v>
      </c>
    </row>
    <row r="259" spans="11:12" x14ac:dyDescent="0.25">
      <c r="K259" s="2" t="s">
        <v>1520</v>
      </c>
      <c r="L259" s="2" t="s">
        <v>1205</v>
      </c>
    </row>
    <row r="260" spans="11:12" x14ac:dyDescent="0.25">
      <c r="K260" s="2" t="s">
        <v>1521</v>
      </c>
      <c r="L260" s="2" t="s">
        <v>1206</v>
      </c>
    </row>
    <row r="261" spans="11:12" x14ac:dyDescent="0.25">
      <c r="K261" s="2" t="s">
        <v>1522</v>
      </c>
      <c r="L261" s="2" t="s">
        <v>1207</v>
      </c>
    </row>
    <row r="262" spans="11:12" x14ac:dyDescent="0.25">
      <c r="K262" s="2" t="s">
        <v>1523</v>
      </c>
      <c r="L262" s="2" t="s">
        <v>1208</v>
      </c>
    </row>
    <row r="263" spans="11:12" x14ac:dyDescent="0.25">
      <c r="K263" s="2" t="s">
        <v>1524</v>
      </c>
      <c r="L263" s="2" t="s">
        <v>1209</v>
      </c>
    </row>
    <row r="264" spans="11:12" x14ac:dyDescent="0.25">
      <c r="K264" s="2" t="s">
        <v>1525</v>
      </c>
      <c r="L264" s="2" t="s">
        <v>1210</v>
      </c>
    </row>
    <row r="265" spans="11:12" x14ac:dyDescent="0.25">
      <c r="K265" s="2" t="s">
        <v>1526</v>
      </c>
      <c r="L265" s="2" t="s">
        <v>1211</v>
      </c>
    </row>
    <row r="266" spans="11:12" x14ac:dyDescent="0.25">
      <c r="K266" s="2" t="s">
        <v>1527</v>
      </c>
      <c r="L266" s="2" t="s">
        <v>1212</v>
      </c>
    </row>
    <row r="267" spans="11:12" x14ac:dyDescent="0.25">
      <c r="K267" s="2" t="s">
        <v>1528</v>
      </c>
      <c r="L267" s="2" t="s">
        <v>1213</v>
      </c>
    </row>
    <row r="268" spans="11:12" x14ac:dyDescent="0.25">
      <c r="K268" s="2" t="s">
        <v>1529</v>
      </c>
      <c r="L268" s="2" t="s">
        <v>1214</v>
      </c>
    </row>
    <row r="269" spans="11:12" x14ac:dyDescent="0.25">
      <c r="K269" s="2" t="s">
        <v>1530</v>
      </c>
      <c r="L269" s="2" t="s">
        <v>1215</v>
      </c>
    </row>
    <row r="270" spans="11:12" x14ac:dyDescent="0.25">
      <c r="K270" s="2" t="s">
        <v>1531</v>
      </c>
      <c r="L270" s="2" t="s">
        <v>1216</v>
      </c>
    </row>
    <row r="271" spans="11:12" x14ac:dyDescent="0.25">
      <c r="K271" s="2" t="s">
        <v>1532</v>
      </c>
      <c r="L271" s="2" t="s">
        <v>1217</v>
      </c>
    </row>
    <row r="272" spans="11:12" x14ac:dyDescent="0.25">
      <c r="K272" s="2" t="s">
        <v>1533</v>
      </c>
      <c r="L272" s="2" t="s">
        <v>1218</v>
      </c>
    </row>
    <row r="273" spans="11:12" x14ac:dyDescent="0.25">
      <c r="K273" s="2" t="s">
        <v>1534</v>
      </c>
      <c r="L273" s="2" t="s">
        <v>1219</v>
      </c>
    </row>
    <row r="274" spans="11:12" x14ac:dyDescent="0.25">
      <c r="K274" s="2" t="s">
        <v>1535</v>
      </c>
      <c r="L274" s="2" t="s">
        <v>1220</v>
      </c>
    </row>
    <row r="275" spans="11:12" x14ac:dyDescent="0.25">
      <c r="K275" s="2" t="s">
        <v>1536</v>
      </c>
      <c r="L275" s="2" t="s">
        <v>1221</v>
      </c>
    </row>
    <row r="276" spans="11:12" x14ac:dyDescent="0.25">
      <c r="K276" s="2" t="s">
        <v>1537</v>
      </c>
      <c r="L276" s="2" t="s">
        <v>1222</v>
      </c>
    </row>
    <row r="277" spans="11:12" x14ac:dyDescent="0.25">
      <c r="K277" s="2" t="s">
        <v>1538</v>
      </c>
      <c r="L277" s="2" t="s">
        <v>1223</v>
      </c>
    </row>
    <row r="278" spans="11:12" x14ac:dyDescent="0.25">
      <c r="K278" s="2" t="s">
        <v>1539</v>
      </c>
      <c r="L278" s="2" t="s">
        <v>1224</v>
      </c>
    </row>
    <row r="279" spans="11:12" x14ac:dyDescent="0.25">
      <c r="K279" s="2" t="s">
        <v>1540</v>
      </c>
      <c r="L279" s="2" t="s">
        <v>1225</v>
      </c>
    </row>
    <row r="280" spans="11:12" x14ac:dyDescent="0.25">
      <c r="K280" s="2" t="s">
        <v>1541</v>
      </c>
      <c r="L280" s="2" t="s">
        <v>1226</v>
      </c>
    </row>
    <row r="281" spans="11:12" x14ac:dyDescent="0.25">
      <c r="K281" s="2" t="s">
        <v>1542</v>
      </c>
      <c r="L281" s="2" t="s">
        <v>1227</v>
      </c>
    </row>
    <row r="282" spans="11:12" x14ac:dyDescent="0.25">
      <c r="K282" s="2" t="s">
        <v>1543</v>
      </c>
      <c r="L282" s="2" t="s">
        <v>1228</v>
      </c>
    </row>
    <row r="283" spans="11:12" x14ac:dyDescent="0.25">
      <c r="K283" s="2" t="s">
        <v>1544</v>
      </c>
      <c r="L283" s="2" t="s">
        <v>1229</v>
      </c>
    </row>
    <row r="284" spans="11:12" x14ac:dyDescent="0.25">
      <c r="K284" s="2" t="s">
        <v>1545</v>
      </c>
      <c r="L284" s="2" t="s">
        <v>1230</v>
      </c>
    </row>
    <row r="285" spans="11:12" x14ac:dyDescent="0.25">
      <c r="K285" s="2" t="s">
        <v>1546</v>
      </c>
      <c r="L285" s="2" t="s">
        <v>1231</v>
      </c>
    </row>
    <row r="286" spans="11:12" x14ac:dyDescent="0.25">
      <c r="K286" s="2" t="s">
        <v>1547</v>
      </c>
      <c r="L286" s="2" t="s">
        <v>1232</v>
      </c>
    </row>
    <row r="287" spans="11:12" x14ac:dyDescent="0.25">
      <c r="K287" s="2" t="s">
        <v>1548</v>
      </c>
      <c r="L287" s="2" t="s">
        <v>1233</v>
      </c>
    </row>
    <row r="288" spans="11:12" x14ac:dyDescent="0.25">
      <c r="K288" s="2" t="s">
        <v>1549</v>
      </c>
      <c r="L288" s="2" t="s">
        <v>1234</v>
      </c>
    </row>
    <row r="289" spans="11:12" x14ac:dyDescent="0.25">
      <c r="K289" s="2" t="s">
        <v>1550</v>
      </c>
      <c r="L289" s="2" t="s">
        <v>1235</v>
      </c>
    </row>
    <row r="290" spans="11:12" x14ac:dyDescent="0.25">
      <c r="K290" s="2" t="s">
        <v>1551</v>
      </c>
      <c r="L290" s="2" t="s">
        <v>1236</v>
      </c>
    </row>
    <row r="291" spans="11:12" x14ac:dyDescent="0.25">
      <c r="K291" s="2" t="s">
        <v>1552</v>
      </c>
      <c r="L291" s="2" t="s">
        <v>1237</v>
      </c>
    </row>
    <row r="292" spans="11:12" x14ac:dyDescent="0.25">
      <c r="K292" s="2" t="s">
        <v>1553</v>
      </c>
      <c r="L292" s="2" t="s">
        <v>1238</v>
      </c>
    </row>
    <row r="293" spans="11:12" x14ac:dyDescent="0.25">
      <c r="K293" s="2" t="s">
        <v>1554</v>
      </c>
      <c r="L293" s="2" t="s">
        <v>1239</v>
      </c>
    </row>
    <row r="294" spans="11:12" x14ac:dyDescent="0.25">
      <c r="K294" s="2" t="s">
        <v>1555</v>
      </c>
      <c r="L294" s="2" t="s">
        <v>1240</v>
      </c>
    </row>
    <row r="295" spans="11:12" x14ac:dyDescent="0.25">
      <c r="K295" s="2" t="s">
        <v>1556</v>
      </c>
      <c r="L295" s="2" t="s">
        <v>1241</v>
      </c>
    </row>
    <row r="296" spans="11:12" x14ac:dyDescent="0.25">
      <c r="K296" s="2" t="s">
        <v>1557</v>
      </c>
      <c r="L296" s="2" t="s">
        <v>1242</v>
      </c>
    </row>
    <row r="297" spans="11:12" x14ac:dyDescent="0.25">
      <c r="K297" s="2" t="s">
        <v>1558</v>
      </c>
      <c r="L297" s="2" t="s">
        <v>1243</v>
      </c>
    </row>
    <row r="298" spans="11:12" x14ac:dyDescent="0.25">
      <c r="K298" s="2" t="s">
        <v>1559</v>
      </c>
      <c r="L298" s="2" t="s">
        <v>1244</v>
      </c>
    </row>
    <row r="299" spans="11:12" x14ac:dyDescent="0.25">
      <c r="K299" s="2" t="s">
        <v>1560</v>
      </c>
      <c r="L299" s="2" t="s">
        <v>1245</v>
      </c>
    </row>
    <row r="300" spans="11:12" x14ac:dyDescent="0.25">
      <c r="K300" s="2" t="s">
        <v>1561</v>
      </c>
      <c r="L300" s="2" t="s">
        <v>1246</v>
      </c>
    </row>
    <row r="301" spans="11:12" x14ac:dyDescent="0.25">
      <c r="K301" s="2" t="s">
        <v>1562</v>
      </c>
      <c r="L301" s="2" t="s">
        <v>1247</v>
      </c>
    </row>
    <row r="302" spans="11:12" x14ac:dyDescent="0.25">
      <c r="K302" s="2" t="s">
        <v>1563</v>
      </c>
      <c r="L302" s="2" t="s">
        <v>1248</v>
      </c>
    </row>
    <row r="303" spans="11:12" x14ac:dyDescent="0.25">
      <c r="K303" s="2" t="s">
        <v>1564</v>
      </c>
      <c r="L303" s="2" t="s">
        <v>1249</v>
      </c>
    </row>
    <row r="304" spans="11:12" x14ac:dyDescent="0.25">
      <c r="K304" s="2" t="s">
        <v>1565</v>
      </c>
      <c r="L304" s="2" t="s">
        <v>1250</v>
      </c>
    </row>
    <row r="305" spans="11:12" x14ac:dyDescent="0.25">
      <c r="K305" s="2" t="s">
        <v>1566</v>
      </c>
      <c r="L305" s="2" t="s">
        <v>1251</v>
      </c>
    </row>
    <row r="306" spans="11:12" x14ac:dyDescent="0.25">
      <c r="K306" s="2" t="s">
        <v>1567</v>
      </c>
      <c r="L306" s="2" t="s">
        <v>1252</v>
      </c>
    </row>
    <row r="307" spans="11:12" x14ac:dyDescent="0.25">
      <c r="K307" s="2" t="s">
        <v>1568</v>
      </c>
      <c r="L307" s="2" t="s">
        <v>1253</v>
      </c>
    </row>
    <row r="308" spans="11:12" x14ac:dyDescent="0.25">
      <c r="K308" s="2" t="s">
        <v>1569</v>
      </c>
      <c r="L308" s="2" t="s">
        <v>1254</v>
      </c>
    </row>
    <row r="309" spans="11:12" x14ac:dyDescent="0.25">
      <c r="K309" s="2" t="s">
        <v>1570</v>
      </c>
      <c r="L309" s="2" t="s">
        <v>1255</v>
      </c>
    </row>
    <row r="310" spans="11:12" x14ac:dyDescent="0.25">
      <c r="K310" s="2" t="s">
        <v>1571</v>
      </c>
      <c r="L310" s="2" t="s">
        <v>1256</v>
      </c>
    </row>
    <row r="311" spans="11:12" x14ac:dyDescent="0.25">
      <c r="K311" s="2" t="s">
        <v>1572</v>
      </c>
      <c r="L311" s="2" t="s">
        <v>1257</v>
      </c>
    </row>
    <row r="312" spans="11:12" x14ac:dyDescent="0.25">
      <c r="K312" s="2" t="s">
        <v>1573</v>
      </c>
      <c r="L312" s="2" t="s">
        <v>1258</v>
      </c>
    </row>
    <row r="313" spans="11:12" x14ac:dyDescent="0.25">
      <c r="K313" s="2" t="s">
        <v>1574</v>
      </c>
      <c r="L313" s="2" t="s">
        <v>1259</v>
      </c>
    </row>
    <row r="314" spans="11:12" x14ac:dyDescent="0.25">
      <c r="K314" s="2" t="s">
        <v>1575</v>
      </c>
      <c r="L314" s="2" t="s">
        <v>1260</v>
      </c>
    </row>
    <row r="315" spans="11:12" x14ac:dyDescent="0.25">
      <c r="K315" s="2" t="s">
        <v>1576</v>
      </c>
      <c r="L315" s="2" t="s">
        <v>1261</v>
      </c>
    </row>
    <row r="316" spans="11:12" x14ac:dyDescent="0.25">
      <c r="K316" s="2" t="s">
        <v>1577</v>
      </c>
      <c r="L316" s="2" t="s">
        <v>1262</v>
      </c>
    </row>
    <row r="317" spans="11:12" x14ac:dyDescent="0.25">
      <c r="K317" s="2" t="s">
        <v>1578</v>
      </c>
      <c r="L317" s="2" t="s">
        <v>1263</v>
      </c>
    </row>
    <row r="318" spans="11:12" x14ac:dyDescent="0.25">
      <c r="K318" s="2" t="s">
        <v>1579</v>
      </c>
      <c r="L318" s="2" t="s">
        <v>1264</v>
      </c>
    </row>
    <row r="319" spans="11:12" x14ac:dyDescent="0.25">
      <c r="K319" s="144" t="s">
        <v>1687</v>
      </c>
      <c r="L319" s="2" t="s">
        <v>1688</v>
      </c>
    </row>
    <row r="320" spans="11:12" x14ac:dyDescent="0.25">
      <c r="K320" s="144" t="s">
        <v>1689</v>
      </c>
      <c r="L320" s="159" t="s">
        <v>1690</v>
      </c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  <row r="353" spans="11:12" x14ac:dyDescent="0.25">
      <c r="K353" s="2"/>
      <c r="L353" s="2"/>
    </row>
  </sheetData>
  <sheetProtection algorithmName="SHA-512" hashValue="r/YvjcVexDnri4sQ0aZNhXwYut8MhUoO1r2VkqM182eFGJVPvaHhhqJTu5g4E6ddEnGXUsgNNzwy1wLG6jbtPg==" saltValue="0krydY9iGfBjPlx0PCm6k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BalanceGeneral_Situacion!Área_de_impresión</vt:lpstr>
      <vt:lpstr>EstadoFinancieroSegmentos!Área_de_impresión</vt:lpstr>
      <vt:lpstr>EstadoResultados_Rendimiento!Área_de_impresión</vt:lpstr>
      <vt:lpstr>EstadoSituacionEvolucionBienes!Área_de_impresión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2021-07-16T01:42:09Z</dcterms:modified>
</cp:coreProperties>
</file>