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hidePivotFieldList="1"/>
  <mc:AlternateContent xmlns:mc="http://schemas.openxmlformats.org/markup-compatibility/2006">
    <mc:Choice Requires="x15">
      <x15ac:absPath xmlns:x15ac="http://schemas.microsoft.com/office/spreadsheetml/2010/11/ac" url="D:\Documents\Seidy Zúñiga\1 PRESUPUESTO\2021\EJECUCIÓN TRIMESTRAL STAP\II TRIMESTRE\Respaldos\"/>
    </mc:Choice>
  </mc:AlternateContent>
  <xr:revisionPtr revIDLastSave="0" documentId="13_ncr:1_{63EB72F1-1B1B-46D6-B4AD-81408994375B}" xr6:coauthVersionLast="36" xr6:coauthVersionMax="36" xr10:uidLastSave="{00000000-0000-0000-0000-000000000000}"/>
  <bookViews>
    <workbookView xWindow="0" yWindow="0" windowWidth="19200" windowHeight="11385" tabRatio="871" firstSheet="2" activeTab="2" xr2:uid="{00000000-000D-0000-FFFF-FFFF00000000}"/>
  </bookViews>
  <sheets>
    <sheet name="Tabla dinámica" sheetId="69" r:id="rId1"/>
    <sheet name="Matriz POI -Presupuesto" sheetId="68" r:id="rId2"/>
    <sheet name="Tabla 1 Ingresos y egresos" sheetId="3" r:id="rId3"/>
    <sheet name="Tabla 2 Ejecución por FF" sheetId="60" r:id="rId4"/>
    <sheet name="Tabla 3 Ingresos por partida" sheetId="36" r:id="rId5"/>
    <sheet name="Tabla 4 Detalle Superávit" sheetId="64" r:id="rId6"/>
    <sheet name="Tabla 5 Egresos por partida" sheetId="67" r:id="rId7"/>
    <sheet name="Tabla 6 Saldo disp. FI y FT" sheetId="72" r:id="rId8"/>
    <sheet name="Tabala 7 Detalle proyectos" sheetId="71" r:id="rId9"/>
    <sheet name="Tabla 8 Presup. por programas" sheetId="55" r:id="rId10"/>
    <sheet name="Tabla 9 Conciliación" sheetId="73" r:id="rId11"/>
    <sheet name="Anexo 4 Ejecución por CE" sheetId="74" r:id="rId12"/>
    <sheet name="Anexo 5 Tabla equv.CE y OBG" sheetId="56" r:id="rId13"/>
    <sheet name="Anexo 6 Detalle Transferencias" sheetId="58" r:id="rId14"/>
  </sheets>
  <externalReferences>
    <externalReference r:id="rId15"/>
    <externalReference r:id="rId16"/>
    <externalReference r:id="rId17"/>
    <externalReference r:id="rId18"/>
  </externalReferences>
  <definedNames>
    <definedName name="_xlnm._FilterDatabase" localSheetId="11" hidden="1">'Anexo 4 Ejecución por CE'!$A$2:$E$353</definedName>
    <definedName name="_xlnm._FilterDatabase" localSheetId="12" hidden="1">'Anexo 5 Tabla equv.CE y OBG'!$A$2:$E$353</definedName>
    <definedName name="_xlnm._FilterDatabase" localSheetId="1" hidden="1">'Matriz POI -Presupuesto'!$B$12:$Y$113</definedName>
    <definedName name="_xlnm._FilterDatabase" localSheetId="8" hidden="1">'Tabala 7 Detalle proyectos'!$B$5:$D$5</definedName>
    <definedName name="AREA" localSheetId="11">'Anexo 4 Ejecución por CE'!$A$2:$J$326</definedName>
    <definedName name="AREA" localSheetId="12">'Anexo 5 Tabla equv.CE y OBG'!$A$2:$J$326</definedName>
    <definedName name="_xlnm.Print_Area" localSheetId="11">'Anexo 4 Ejecución por CE'!$A$2:$P$363</definedName>
    <definedName name="_xlnm.Print_Area" localSheetId="12">'Anexo 5 Tabla equv.CE y OBG'!$A$2:$P$363</definedName>
    <definedName name="_xlnm.Print_Area" localSheetId="4">'Tabla 3 Ingresos por partida'!$B$1:$N$50</definedName>
    <definedName name="COLABORADOR" localSheetId="1">[1]Hoja2!$B$27:$B$69</definedName>
    <definedName name="COLABORADOR">[2]Hoja2!$B$26:$B$68</definedName>
    <definedName name="FUENTE" localSheetId="1">[1]Hoja2!$C$4:$C$15</definedName>
    <definedName name="FUENTE">[2]Hoja2!$C$4:$C$16</definedName>
    <definedName name="NOMBREMETA" localSheetId="11">#REF!</definedName>
    <definedName name="NOMBREMETA" localSheetId="12">#REF!</definedName>
    <definedName name="NOMBREMETA" localSheetId="13">#REF!</definedName>
    <definedName name="NOMBREMETA" localSheetId="1">'Matriz POI -Presupuesto'!#REF!</definedName>
    <definedName name="NOMBREMETA" localSheetId="3">#REF!</definedName>
    <definedName name="NOMBREMETA" localSheetId="4">'[2]PRE-2020'!$D$28:$D$54</definedName>
    <definedName name="NOMBREMETA" localSheetId="6">#REF!</definedName>
    <definedName name="NOMBREMETA" localSheetId="10">#REF!</definedName>
    <definedName name="NOMBREMETA">#REF!</definedName>
    <definedName name="PARTIDAS" localSheetId="1">[1]partidas!$B$3:$B$13</definedName>
    <definedName name="PARTIDAS">[2]partidas!$B$3:$B$13</definedName>
    <definedName name="proyecto" localSheetId="10">[3]Hoja2!$B$4:$B$23</definedName>
    <definedName name="proyecto">[4]Hoja2!$B$4:$B$23</definedName>
    <definedName name="_xlnm.Print_Titles" localSheetId="11">'Anexo 4 Ejecución por CE'!$2:$6</definedName>
    <definedName name="_xlnm.Print_Titles" localSheetId="12">'Anexo 5 Tabla equv.CE y OBG'!$2:$6</definedName>
    <definedName name="_xlnm.Print_Titles" localSheetId="9">'Tabla 8 Presup. por programas'!$2:$4</definedName>
    <definedName name="UNIDAD" localSheetId="1">[1]Hoja2!$B$4:$B$24</definedName>
    <definedName name="UNIDAD">[2]Hoja2!$B$4:$B$23</definedName>
  </definedNames>
  <calcPr calcId="191029"/>
  <pivotCaches>
    <pivotCache cacheId="3" r:id="rId19"/>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 i="3" l="1"/>
  <c r="O5" i="3" s="1"/>
  <c r="D23" i="58" l="1"/>
  <c r="D26" i="58"/>
  <c r="D22" i="58"/>
  <c r="G275" i="74" l="1"/>
  <c r="F275" i="74"/>
  <c r="I274" i="74"/>
  <c r="H274" i="74"/>
  <c r="G274" i="74"/>
  <c r="F274" i="74" s="1"/>
  <c r="P273" i="74"/>
  <c r="O273" i="74"/>
  <c r="M273" i="74" s="1"/>
  <c r="N273" i="74"/>
  <c r="G270" i="74"/>
  <c r="F270" i="74" s="1"/>
  <c r="G269" i="74"/>
  <c r="F269" i="74" s="1"/>
  <c r="M263" i="74"/>
  <c r="M262" i="74"/>
  <c r="M261" i="74"/>
  <c r="M259" i="74"/>
  <c r="M258" i="74"/>
  <c r="M257" i="74"/>
  <c r="M256" i="74"/>
  <c r="P255" i="74"/>
  <c r="P240" i="74" s="1"/>
  <c r="O255" i="74"/>
  <c r="N255" i="74"/>
  <c r="M255" i="74" s="1"/>
  <c r="M240" i="74" s="1"/>
  <c r="H255" i="74"/>
  <c r="I253" i="74"/>
  <c r="I239" i="74" s="1"/>
  <c r="H253" i="74"/>
  <c r="I244" i="74"/>
  <c r="H244" i="74"/>
  <c r="H239" i="74"/>
  <c r="M238" i="74"/>
  <c r="M237" i="74"/>
  <c r="P236" i="74"/>
  <c r="I236" i="74" s="1"/>
  <c r="O236" i="74"/>
  <c r="H236" i="74" s="1"/>
  <c r="N236" i="74"/>
  <c r="M236" i="74"/>
  <c r="G236" i="74"/>
  <c r="P232" i="74"/>
  <c r="O232" i="74"/>
  <c r="N232" i="74"/>
  <c r="M232" i="74"/>
  <c r="P230" i="74"/>
  <c r="O230" i="74"/>
  <c r="N230" i="74"/>
  <c r="M230" i="74" s="1"/>
  <c r="M229" i="74"/>
  <c r="M228" i="74"/>
  <c r="M227" i="74"/>
  <c r="M226" i="74"/>
  <c r="P225" i="74"/>
  <c r="O225" i="74"/>
  <c r="N225" i="74"/>
  <c r="M225" i="74" s="1"/>
  <c r="M224" i="74"/>
  <c r="P219" i="74"/>
  <c r="O219" i="74"/>
  <c r="N219" i="74"/>
  <c r="M219" i="74" s="1"/>
  <c r="M217" i="74"/>
  <c r="M216" i="74"/>
  <c r="M215" i="74"/>
  <c r="P214" i="74"/>
  <c r="I214" i="74" s="1"/>
  <c r="O214" i="74"/>
  <c r="H213" i="74" s="1"/>
  <c r="N214" i="74"/>
  <c r="M214" i="74"/>
  <c r="O208" i="74"/>
  <c r="N208" i="74"/>
  <c r="M208" i="74" s="1"/>
  <c r="M207" i="74"/>
  <c r="M206" i="74"/>
  <c r="M205" i="74"/>
  <c r="M204" i="74"/>
  <c r="M203" i="74"/>
  <c r="M202" i="74"/>
  <c r="M201" i="74"/>
  <c r="M200" i="74"/>
  <c r="M199" i="74"/>
  <c r="P198" i="74"/>
  <c r="I198" i="74" s="1"/>
  <c r="O198" i="74"/>
  <c r="O196" i="74" s="1"/>
  <c r="N198" i="74"/>
  <c r="M198" i="74" s="1"/>
  <c r="M196" i="74" s="1"/>
  <c r="P196" i="74"/>
  <c r="I186" i="74"/>
  <c r="H186" i="74"/>
  <c r="F186" i="74"/>
  <c r="I168" i="74"/>
  <c r="H168" i="74"/>
  <c r="F168" i="74"/>
  <c r="F166" i="74"/>
  <c r="P142" i="74"/>
  <c r="O142" i="74"/>
  <c r="N142" i="74"/>
  <c r="M142" i="74"/>
  <c r="M138" i="74"/>
  <c r="P137" i="74"/>
  <c r="O137" i="74"/>
  <c r="M137" i="74" s="1"/>
  <c r="N137" i="74"/>
  <c r="P134" i="74"/>
  <c r="O134" i="74"/>
  <c r="N134" i="74"/>
  <c r="M134" i="74" s="1"/>
  <c r="M133" i="74"/>
  <c r="M132" i="74"/>
  <c r="M131" i="74"/>
  <c r="M129" i="74"/>
  <c r="M128" i="74"/>
  <c r="M127" i="74"/>
  <c r="P126" i="74"/>
  <c r="O126" i="74"/>
  <c r="N126" i="74"/>
  <c r="M126" i="74"/>
  <c r="M125" i="74"/>
  <c r="M124" i="74"/>
  <c r="M123" i="74"/>
  <c r="M122" i="74"/>
  <c r="P121" i="74"/>
  <c r="O121" i="74"/>
  <c r="N121" i="74"/>
  <c r="M121" i="74"/>
  <c r="M120" i="74"/>
  <c r="M116" i="74"/>
  <c r="P115" i="74"/>
  <c r="O115" i="74"/>
  <c r="O113" i="74" s="1"/>
  <c r="N115" i="74"/>
  <c r="N113" i="74" s="1"/>
  <c r="M111" i="74"/>
  <c r="M110" i="74"/>
  <c r="M109" i="74"/>
  <c r="M108" i="74"/>
  <c r="M107" i="74"/>
  <c r="M106" i="74"/>
  <c r="P105" i="74"/>
  <c r="O105" i="74"/>
  <c r="N105" i="74"/>
  <c r="M103" i="74"/>
  <c r="M102" i="74"/>
  <c r="M101" i="74"/>
  <c r="M100" i="74"/>
  <c r="M99" i="74"/>
  <c r="M98" i="74"/>
  <c r="M97" i="74"/>
  <c r="M96" i="74"/>
  <c r="M95" i="74"/>
  <c r="P94" i="74"/>
  <c r="O94" i="74"/>
  <c r="N94" i="74"/>
  <c r="M94" i="74" s="1"/>
  <c r="P90" i="74"/>
  <c r="O90" i="74"/>
  <c r="N90" i="74"/>
  <c r="M90" i="74" s="1"/>
  <c r="M87" i="74"/>
  <c r="P86" i="74"/>
  <c r="O86" i="74"/>
  <c r="N86" i="74"/>
  <c r="M85" i="74"/>
  <c r="M84" i="74"/>
  <c r="M83" i="74"/>
  <c r="M82" i="74"/>
  <c r="P81" i="74"/>
  <c r="P50" i="74" s="1"/>
  <c r="O81" i="74"/>
  <c r="N81" i="74"/>
  <c r="M79" i="74"/>
  <c r="M78" i="74"/>
  <c r="M77" i="74"/>
  <c r="M76" i="74"/>
  <c r="M75" i="74"/>
  <c r="M74" i="74"/>
  <c r="M73" i="74"/>
  <c r="P72" i="74"/>
  <c r="O72" i="74"/>
  <c r="N72" i="74"/>
  <c r="M72" i="74"/>
  <c r="M71" i="74"/>
  <c r="M70" i="74"/>
  <c r="M65" i="74"/>
  <c r="P64" i="74"/>
  <c r="O64" i="74"/>
  <c r="N64" i="74"/>
  <c r="M64" i="74" s="1"/>
  <c r="M63" i="74"/>
  <c r="M62" i="74"/>
  <c r="M61" i="74"/>
  <c r="M60" i="74"/>
  <c r="M59" i="74"/>
  <c r="P58" i="74"/>
  <c r="O58" i="74"/>
  <c r="N58" i="74"/>
  <c r="M56" i="74"/>
  <c r="M55" i="74"/>
  <c r="M54" i="74"/>
  <c r="M53" i="74"/>
  <c r="P52" i="74"/>
  <c r="I50" i="74" s="1"/>
  <c r="O52" i="74"/>
  <c r="N52" i="74"/>
  <c r="M52" i="74"/>
  <c r="N50" i="74"/>
  <c r="M48" i="74"/>
  <c r="M47" i="74"/>
  <c r="M46" i="74"/>
  <c r="M45" i="74"/>
  <c r="M44" i="74"/>
  <c r="P43" i="74"/>
  <c r="O43" i="74"/>
  <c r="N43" i="74"/>
  <c r="M42" i="74"/>
  <c r="M41" i="74"/>
  <c r="M40" i="74"/>
  <c r="M39" i="74"/>
  <c r="M38" i="74"/>
  <c r="P37" i="74"/>
  <c r="O37" i="74"/>
  <c r="H36" i="74" s="1"/>
  <c r="N37" i="74"/>
  <c r="I36" i="74"/>
  <c r="I12" i="74" s="1"/>
  <c r="G36" i="74"/>
  <c r="P33" i="74"/>
  <c r="O33" i="74"/>
  <c r="N33" i="74"/>
  <c r="M33" i="74" s="1"/>
  <c r="M32" i="74"/>
  <c r="M31" i="74"/>
  <c r="M30" i="74"/>
  <c r="M29" i="74"/>
  <c r="M28" i="74"/>
  <c r="P27" i="74"/>
  <c r="O27" i="74"/>
  <c r="N27" i="74"/>
  <c r="M27" i="74" s="1"/>
  <c r="M26" i="74"/>
  <c r="M25" i="74"/>
  <c r="M24" i="74"/>
  <c r="M23" i="74"/>
  <c r="M22" i="74"/>
  <c r="P21" i="74"/>
  <c r="O21" i="74"/>
  <c r="N21" i="74"/>
  <c r="M21" i="74" s="1"/>
  <c r="M20" i="74"/>
  <c r="M19" i="74"/>
  <c r="M18" i="74"/>
  <c r="M15" i="74" s="1"/>
  <c r="M17" i="74"/>
  <c r="M16" i="74"/>
  <c r="P15" i="74"/>
  <c r="O15" i="74"/>
  <c r="H14" i="74" s="1"/>
  <c r="N15" i="74"/>
  <c r="I14" i="74"/>
  <c r="P12" i="74"/>
  <c r="O12" i="74"/>
  <c r="G236" i="56"/>
  <c r="H236" i="56"/>
  <c r="M238" i="56"/>
  <c r="M227" i="56"/>
  <c r="M228" i="56"/>
  <c r="M229" i="56"/>
  <c r="N208" i="56"/>
  <c r="O208" i="56"/>
  <c r="M200" i="56"/>
  <c r="M201" i="56"/>
  <c r="M202" i="56"/>
  <c r="M203" i="56"/>
  <c r="M204" i="56"/>
  <c r="M205" i="56"/>
  <c r="M206" i="56"/>
  <c r="M207" i="56"/>
  <c r="N198" i="56"/>
  <c r="G198" i="56" s="1"/>
  <c r="M224" i="56"/>
  <c r="M237" i="56"/>
  <c r="M71" i="56"/>
  <c r="M59" i="56"/>
  <c r="M23" i="56"/>
  <c r="M24" i="56"/>
  <c r="M25" i="56"/>
  <c r="O21" i="56"/>
  <c r="M22" i="56"/>
  <c r="I196" i="74" l="1"/>
  <c r="H198" i="74"/>
  <c r="G198" i="74"/>
  <c r="I10" i="74"/>
  <c r="I8" i="74" s="1"/>
  <c r="I363" i="74" s="1"/>
  <c r="P363" i="74"/>
  <c r="P113" i="74"/>
  <c r="M58" i="74"/>
  <c r="M50" i="74" s="1"/>
  <c r="M105" i="74"/>
  <c r="M86" i="74"/>
  <c r="M81" i="74"/>
  <c r="M37" i="74"/>
  <c r="M43" i="74"/>
  <c r="M12" i="74"/>
  <c r="H196" i="74"/>
  <c r="F198" i="74"/>
  <c r="H12" i="74"/>
  <c r="F36" i="74"/>
  <c r="F236" i="74"/>
  <c r="O50" i="74"/>
  <c r="O363" i="74" s="1"/>
  <c r="M115" i="74"/>
  <c r="M113" i="74" s="1"/>
  <c r="G14" i="74"/>
  <c r="N196" i="74"/>
  <c r="N240" i="74"/>
  <c r="G50" i="74"/>
  <c r="O240" i="74"/>
  <c r="H50" i="74"/>
  <c r="G213" i="74"/>
  <c r="G255" i="74"/>
  <c r="N12" i="74"/>
  <c r="M208" i="56"/>
  <c r="F23" i="73"/>
  <c r="D31" i="73"/>
  <c r="D29" i="73"/>
  <c r="N363" i="74" l="1"/>
  <c r="M363" i="74"/>
  <c r="G196" i="74"/>
  <c r="F196" i="74" s="1"/>
  <c r="Q196" i="74" s="1"/>
  <c r="F213" i="74"/>
  <c r="H10" i="74"/>
  <c r="H8" i="74" s="1"/>
  <c r="H363" i="74" s="1"/>
  <c r="F50" i="74"/>
  <c r="G12" i="74"/>
  <c r="F14" i="74"/>
  <c r="F255" i="74"/>
  <c r="G253" i="74"/>
  <c r="D34" i="73"/>
  <c r="D28" i="73"/>
  <c r="D7" i="73"/>
  <c r="C16" i="73"/>
  <c r="D10" i="73"/>
  <c r="D8" i="73"/>
  <c r="G239" i="74" l="1"/>
  <c r="F239" i="74" s="1"/>
  <c r="F253" i="74"/>
  <c r="G10" i="74"/>
  <c r="F12" i="74"/>
  <c r="D11" i="73"/>
  <c r="D18" i="73" s="1"/>
  <c r="F10" i="74" l="1"/>
  <c r="G8" i="74"/>
  <c r="J11" i="72"/>
  <c r="J7" i="72"/>
  <c r="J6" i="72"/>
  <c r="I10" i="72"/>
  <c r="I6" i="72"/>
  <c r="I7" i="72"/>
  <c r="I9" i="72"/>
  <c r="I11" i="72"/>
  <c r="F8" i="74" l="1"/>
  <c r="G363" i="74"/>
  <c r="F363" i="74" s="1"/>
  <c r="Q197" i="74" s="1"/>
  <c r="H12" i="72"/>
  <c r="G12" i="72"/>
  <c r="F12" i="72"/>
  <c r="D12" i="72"/>
  <c r="C12" i="72"/>
  <c r="E11" i="72"/>
  <c r="E10" i="72"/>
  <c r="E9" i="72"/>
  <c r="G8" i="72"/>
  <c r="G13" i="72" s="1"/>
  <c r="F8" i="72"/>
  <c r="D8" i="72"/>
  <c r="D13" i="72" s="1"/>
  <c r="C8" i="72"/>
  <c r="H7" i="72"/>
  <c r="E7" i="72"/>
  <c r="H6" i="72"/>
  <c r="H8" i="72" s="1"/>
  <c r="J8" i="72" s="1"/>
  <c r="E6" i="72"/>
  <c r="E8" i="72" s="1"/>
  <c r="F13" i="72" l="1"/>
  <c r="I8" i="72"/>
  <c r="I12" i="72"/>
  <c r="J12" i="72"/>
  <c r="C13" i="72"/>
  <c r="E12" i="72"/>
  <c r="E13" i="72" s="1"/>
  <c r="H13" i="72"/>
  <c r="I13" i="72" l="1"/>
  <c r="J13" i="72"/>
  <c r="G28" i="71"/>
  <c r="G20" i="71"/>
  <c r="G22" i="71" s="1"/>
  <c r="G11" i="71"/>
  <c r="H22" i="55" l="1"/>
  <c r="P14" i="3" l="1"/>
  <c r="F13" i="3"/>
  <c r="E13" i="3"/>
  <c r="E18" i="3"/>
  <c r="F18" i="3" s="1"/>
  <c r="E17" i="3"/>
  <c r="E14" i="3"/>
  <c r="F14" i="3"/>
  <c r="F15" i="3"/>
  <c r="F16" i="3"/>
  <c r="F17" i="3"/>
  <c r="F19" i="3"/>
  <c r="E5" i="3"/>
  <c r="D13" i="3"/>
  <c r="C13" i="3"/>
  <c r="F5" i="3"/>
  <c r="F10" i="3"/>
  <c r="F8" i="3"/>
  <c r="F6" i="3"/>
  <c r="D5" i="3"/>
  <c r="C5" i="3"/>
  <c r="D37" i="55"/>
  <c r="E37" i="55"/>
  <c r="F37" i="55"/>
  <c r="G37" i="55"/>
  <c r="H38" i="55"/>
  <c r="G38" i="55"/>
  <c r="C37" i="55"/>
  <c r="D34" i="55"/>
  <c r="E34" i="55"/>
  <c r="F34" i="55"/>
  <c r="G34" i="55"/>
  <c r="C34" i="55"/>
  <c r="H36" i="55"/>
  <c r="G36" i="55"/>
  <c r="H35" i="55"/>
  <c r="G35" i="55"/>
  <c r="H31" i="55"/>
  <c r="H30" i="55"/>
  <c r="D27" i="55"/>
  <c r="E27" i="55"/>
  <c r="F27" i="55"/>
  <c r="G27" i="55"/>
  <c r="H26" i="55"/>
  <c r="G26" i="55"/>
  <c r="F25" i="55"/>
  <c r="F24" i="55" s="1"/>
  <c r="E25" i="55"/>
  <c r="E24" i="55" s="1"/>
  <c r="D25" i="55"/>
  <c r="D24" i="55" s="1"/>
  <c r="C25" i="55"/>
  <c r="G25" i="55" s="1"/>
  <c r="G24" i="55" s="1"/>
  <c r="C24" i="55" l="1"/>
  <c r="H37" i="55"/>
  <c r="H34" i="55"/>
  <c r="H25" i="55"/>
  <c r="F21" i="55"/>
  <c r="G21" i="55"/>
  <c r="C22" i="55"/>
  <c r="G22" i="55" s="1"/>
  <c r="E21" i="55"/>
  <c r="D21" i="55"/>
  <c r="C21" i="55"/>
  <c r="H20" i="55"/>
  <c r="G20" i="55"/>
  <c r="G19" i="55" s="1"/>
  <c r="F19" i="55"/>
  <c r="E19" i="55"/>
  <c r="D19" i="55"/>
  <c r="C19" i="55"/>
  <c r="H12" i="55"/>
  <c r="H11" i="55"/>
  <c r="H10" i="55"/>
  <c r="H9" i="55"/>
  <c r="G10" i="55"/>
  <c r="G11" i="55"/>
  <c r="G12" i="55"/>
  <c r="G9" i="55"/>
  <c r="E8" i="55"/>
  <c r="F8" i="55"/>
  <c r="D9" i="55"/>
  <c r="D8" i="55" s="1"/>
  <c r="H19" i="55" l="1"/>
  <c r="G8" i="55"/>
  <c r="P114" i="68" l="1"/>
  <c r="O114" i="68"/>
  <c r="N114" i="68"/>
  <c r="L114" i="68"/>
  <c r="J114" i="68"/>
  <c r="I114" i="68"/>
  <c r="H114" i="68"/>
  <c r="G114" i="68"/>
  <c r="F114" i="68"/>
  <c r="M113" i="68"/>
  <c r="Q113" i="68" s="1"/>
  <c r="M112" i="68"/>
  <c r="Q112" i="68" s="1"/>
  <c r="M111" i="68"/>
  <c r="Q111" i="68" s="1"/>
  <c r="M110" i="68"/>
  <c r="Q110" i="68" s="1"/>
  <c r="M109" i="68"/>
  <c r="Q109" i="68" s="1"/>
  <c r="M108" i="68"/>
  <c r="Q108" i="68" s="1"/>
  <c r="M107" i="68"/>
  <c r="Q107" i="68" s="1"/>
  <c r="M106" i="68"/>
  <c r="Q106" i="68" s="1"/>
  <c r="M105" i="68"/>
  <c r="Q105" i="68" s="1"/>
  <c r="M104" i="68"/>
  <c r="Q104" i="68" s="1"/>
  <c r="M103" i="68"/>
  <c r="Q103" i="68" s="1"/>
  <c r="M102" i="68"/>
  <c r="Q102" i="68" s="1"/>
  <c r="M101" i="68"/>
  <c r="Q101" i="68" s="1"/>
  <c r="M100" i="68"/>
  <c r="Q100" i="68" s="1"/>
  <c r="M99" i="68"/>
  <c r="Q99" i="68" s="1"/>
  <c r="M98" i="68"/>
  <c r="Q98" i="68" s="1"/>
  <c r="M97" i="68"/>
  <c r="Q97" i="68" s="1"/>
  <c r="M96" i="68"/>
  <c r="Q96" i="68" s="1"/>
  <c r="K114" i="68"/>
  <c r="M95" i="68"/>
  <c r="Q95" i="68" s="1"/>
  <c r="M94" i="68"/>
  <c r="Q94" i="68" s="1"/>
  <c r="M93" i="68"/>
  <c r="Q93" i="68" s="1"/>
  <c r="M92" i="68"/>
  <c r="Q92" i="68" s="1"/>
  <c r="M91" i="68"/>
  <c r="Q91" i="68" s="1"/>
  <c r="M90" i="68"/>
  <c r="Q90" i="68" s="1"/>
  <c r="M89" i="68"/>
  <c r="Q89" i="68" s="1"/>
  <c r="E89" i="68"/>
  <c r="M88" i="68"/>
  <c r="Q88" i="68" s="1"/>
  <c r="M87" i="68"/>
  <c r="Q87" i="68" s="1"/>
  <c r="M86" i="68"/>
  <c r="Q86" i="68" s="1"/>
  <c r="M85" i="68"/>
  <c r="Q85" i="68" s="1"/>
  <c r="M84" i="68"/>
  <c r="Q84" i="68" s="1"/>
  <c r="E83" i="68"/>
  <c r="M83" i="68" s="1"/>
  <c r="Q83" i="68" s="1"/>
  <c r="M82" i="68"/>
  <c r="Q82" i="68" s="1"/>
  <c r="M81" i="68"/>
  <c r="Q81" i="68" s="1"/>
  <c r="M80" i="68"/>
  <c r="Q80" i="68" s="1"/>
  <c r="M79" i="68"/>
  <c r="Q79" i="68" s="1"/>
  <c r="M78" i="68"/>
  <c r="Q78" i="68" s="1"/>
  <c r="M77" i="68"/>
  <c r="Q77" i="68" s="1"/>
  <c r="M76" i="68"/>
  <c r="Q76" i="68" s="1"/>
  <c r="M75" i="68"/>
  <c r="Q75" i="68" s="1"/>
  <c r="M74" i="68"/>
  <c r="Q74" i="68" s="1"/>
  <c r="E73" i="68"/>
  <c r="M73" i="68" s="1"/>
  <c r="Q73" i="68" s="1"/>
  <c r="M72" i="68"/>
  <c r="Q72" i="68" s="1"/>
  <c r="M71" i="68"/>
  <c r="Q71" i="68" s="1"/>
  <c r="M70" i="68"/>
  <c r="Q70" i="68" s="1"/>
  <c r="M69" i="68"/>
  <c r="Q69" i="68" s="1"/>
  <c r="M68" i="68"/>
  <c r="Q68" i="68" s="1"/>
  <c r="M67" i="68"/>
  <c r="Q67" i="68" s="1"/>
  <c r="M66" i="68"/>
  <c r="Q66" i="68" s="1"/>
  <c r="E66" i="68"/>
  <c r="M65" i="68"/>
  <c r="Q65" i="68" s="1"/>
  <c r="M64" i="68"/>
  <c r="Q64" i="68" s="1"/>
  <c r="M63" i="68"/>
  <c r="Q63" i="68" s="1"/>
  <c r="E63" i="68"/>
  <c r="M62" i="68"/>
  <c r="Q62" i="68" s="1"/>
  <c r="M61" i="68"/>
  <c r="Q61" i="68" s="1"/>
  <c r="M60" i="68"/>
  <c r="Q60" i="68" s="1"/>
  <c r="M59" i="68"/>
  <c r="Q59" i="68" s="1"/>
  <c r="M58" i="68"/>
  <c r="Q58" i="68" s="1"/>
  <c r="M57" i="68"/>
  <c r="Q57" i="68" s="1"/>
  <c r="M56" i="68"/>
  <c r="Q56" i="68" s="1"/>
  <c r="M55" i="68"/>
  <c r="Q55" i="68" s="1"/>
  <c r="M54" i="68"/>
  <c r="Q54" i="68" s="1"/>
  <c r="M53" i="68"/>
  <c r="Q53" i="68" s="1"/>
  <c r="M52" i="68"/>
  <c r="Q52" i="68" s="1"/>
  <c r="M51" i="68"/>
  <c r="Q51" i="68" s="1"/>
  <c r="M50" i="68"/>
  <c r="Q50" i="68" s="1"/>
  <c r="M49" i="68"/>
  <c r="Q49" i="68" s="1"/>
  <c r="M48" i="68"/>
  <c r="Q48" i="68" s="1"/>
  <c r="M47" i="68"/>
  <c r="Q47" i="68" s="1"/>
  <c r="M46" i="68"/>
  <c r="Q46" i="68" s="1"/>
  <c r="E45" i="68"/>
  <c r="E114" i="68" s="1"/>
  <c r="M44" i="68"/>
  <c r="Q44" i="68" s="1"/>
  <c r="M43" i="68"/>
  <c r="Q43" i="68" s="1"/>
  <c r="M42" i="68"/>
  <c r="Q42" i="68" s="1"/>
  <c r="M41" i="68"/>
  <c r="Q41" i="68" s="1"/>
  <c r="M40" i="68"/>
  <c r="Q40" i="68" s="1"/>
  <c r="M39" i="68"/>
  <c r="Q39" i="68" s="1"/>
  <c r="M38" i="68"/>
  <c r="Q38" i="68" s="1"/>
  <c r="M37" i="68"/>
  <c r="Q37" i="68" s="1"/>
  <c r="M36" i="68"/>
  <c r="Q36" i="68" s="1"/>
  <c r="M35" i="68"/>
  <c r="Q35" i="68" s="1"/>
  <c r="M34" i="68"/>
  <c r="Q34" i="68" s="1"/>
  <c r="M33" i="68"/>
  <c r="Q33" i="68" s="1"/>
  <c r="M32" i="68"/>
  <c r="Q32" i="68" s="1"/>
  <c r="M31" i="68"/>
  <c r="Q31" i="68" s="1"/>
  <c r="M30" i="68"/>
  <c r="Q30" i="68" s="1"/>
  <c r="M29" i="68"/>
  <c r="Q29" i="68" s="1"/>
  <c r="M28" i="68"/>
  <c r="Q28" i="68" s="1"/>
  <c r="M27" i="68"/>
  <c r="Q27" i="68" s="1"/>
  <c r="M26" i="68"/>
  <c r="Q26" i="68" s="1"/>
  <c r="M25" i="68"/>
  <c r="Q25" i="68" s="1"/>
  <c r="M24" i="68"/>
  <c r="Q24" i="68" s="1"/>
  <c r="M23" i="68"/>
  <c r="Q23" i="68" s="1"/>
  <c r="M22" i="68"/>
  <c r="Q22" i="68" s="1"/>
  <c r="M21" i="68"/>
  <c r="Q21" i="68" s="1"/>
  <c r="M20" i="68"/>
  <c r="Q20" i="68" s="1"/>
  <c r="M19" i="68"/>
  <c r="Q19" i="68" s="1"/>
  <c r="M18" i="68"/>
  <c r="Q18" i="68" s="1"/>
  <c r="M17" i="68"/>
  <c r="Q17" i="68" s="1"/>
  <c r="M16" i="68"/>
  <c r="Q16" i="68" s="1"/>
  <c r="M15" i="68"/>
  <c r="Q15" i="68" s="1"/>
  <c r="M14" i="68"/>
  <c r="Q14" i="68" s="1"/>
  <c r="M13" i="68"/>
  <c r="Q13" i="68" l="1"/>
  <c r="M45" i="68"/>
  <c r="Q45" i="68" s="1"/>
  <c r="M114" i="68" l="1"/>
  <c r="Q114" i="68"/>
  <c r="K19" i="67" l="1"/>
  <c r="G19" i="67"/>
  <c r="L19" i="67" s="1"/>
  <c r="M19" i="67" s="1"/>
  <c r="J18" i="67"/>
  <c r="I18" i="67"/>
  <c r="H18" i="67"/>
  <c r="K18" i="67" s="1"/>
  <c r="G18" i="67"/>
  <c r="L18" i="67" s="1"/>
  <c r="M18" i="67" s="1"/>
  <c r="M17" i="67"/>
  <c r="L17" i="67"/>
  <c r="K17" i="67"/>
  <c r="G17" i="67"/>
  <c r="K16" i="67"/>
  <c r="G16" i="67"/>
  <c r="G13" i="67" s="1"/>
  <c r="M15" i="67"/>
  <c r="L15" i="67"/>
  <c r="K15" i="67"/>
  <c r="G15" i="67"/>
  <c r="J14" i="67"/>
  <c r="J13" i="67" s="1"/>
  <c r="I14" i="67"/>
  <c r="K14" i="67" s="1"/>
  <c r="L14" i="67" s="1"/>
  <c r="M14" i="67" s="1"/>
  <c r="H14" i="67"/>
  <c r="G14" i="67"/>
  <c r="I13" i="67"/>
  <c r="H13" i="67"/>
  <c r="F13" i="67"/>
  <c r="E13" i="67"/>
  <c r="D13" i="67"/>
  <c r="C13" i="67"/>
  <c r="J10" i="67"/>
  <c r="I10" i="67"/>
  <c r="H10" i="67"/>
  <c r="F10" i="67"/>
  <c r="E10" i="67"/>
  <c r="D10" i="67"/>
  <c r="G10" i="67" s="1"/>
  <c r="C10" i="67"/>
  <c r="I8" i="67"/>
  <c r="H8" i="67"/>
  <c r="F8" i="67"/>
  <c r="E8" i="67"/>
  <c r="G8" i="67" s="1"/>
  <c r="D8" i="67"/>
  <c r="C8" i="67"/>
  <c r="J6" i="67"/>
  <c r="I6" i="67"/>
  <c r="I5" i="67" s="1"/>
  <c r="H6" i="67"/>
  <c r="H5" i="67" s="1"/>
  <c r="G6" i="67"/>
  <c r="F6" i="67"/>
  <c r="F5" i="67" s="1"/>
  <c r="E6" i="67"/>
  <c r="D6" i="67"/>
  <c r="C6" i="67"/>
  <c r="D5" i="67"/>
  <c r="C5" i="67"/>
  <c r="K13" i="67" l="1"/>
  <c r="L13" i="67"/>
  <c r="M13" i="67" s="1"/>
  <c r="M8" i="67"/>
  <c r="K10" i="67"/>
  <c r="L10" i="67" s="1"/>
  <c r="E5" i="67"/>
  <c r="K6" i="67"/>
  <c r="L6" i="67" s="1"/>
  <c r="G5" i="67"/>
  <c r="L16" i="67"/>
  <c r="M16" i="67" s="1"/>
  <c r="C20" i="60"/>
  <c r="C14" i="60"/>
  <c r="C9" i="60"/>
  <c r="E10" i="60"/>
  <c r="C10" i="60"/>
  <c r="P19" i="3"/>
  <c r="P18" i="3"/>
  <c r="P15" i="3"/>
  <c r="P16" i="3"/>
  <c r="P17" i="3"/>
  <c r="K14" i="3"/>
  <c r="M18" i="3"/>
  <c r="L18" i="3"/>
  <c r="K18" i="3"/>
  <c r="N16" i="3"/>
  <c r="N17" i="3"/>
  <c r="O17" i="3" s="1"/>
  <c r="N19" i="3"/>
  <c r="N15" i="3"/>
  <c r="O15" i="3" s="1"/>
  <c r="M14" i="3"/>
  <c r="M13" i="3" s="1"/>
  <c r="L14" i="3"/>
  <c r="O16" i="3"/>
  <c r="O19" i="3"/>
  <c r="M10" i="3"/>
  <c r="L10" i="3"/>
  <c r="K10" i="3"/>
  <c r="L8" i="3"/>
  <c r="K8" i="3"/>
  <c r="M6" i="3"/>
  <c r="L6" i="3"/>
  <c r="K6" i="3"/>
  <c r="N6" i="3" s="1"/>
  <c r="J19" i="36"/>
  <c r="L5" i="3" l="1"/>
  <c r="N10" i="3"/>
  <c r="K5" i="3"/>
  <c r="M5" i="67"/>
  <c r="L13" i="3"/>
  <c r="N18" i="3"/>
  <c r="O18" i="3" s="1"/>
  <c r="K13" i="3"/>
  <c r="N14" i="3"/>
  <c r="O14" i="3" s="1"/>
  <c r="O43" i="36"/>
  <c r="O33" i="36"/>
  <c r="O34" i="36"/>
  <c r="O32" i="36"/>
  <c r="O31" i="36"/>
  <c r="M39" i="36"/>
  <c r="L39" i="36"/>
  <c r="M41" i="36"/>
  <c r="L41" i="36"/>
  <c r="M46" i="36"/>
  <c r="M47" i="36"/>
  <c r="M48" i="36"/>
  <c r="M45" i="36"/>
  <c r="M43" i="36"/>
  <c r="L43" i="36"/>
  <c r="I31" i="36"/>
  <c r="I27" i="36" s="1"/>
  <c r="H27" i="36"/>
  <c r="D35" i="36"/>
  <c r="N35" i="36" s="1"/>
  <c r="D33" i="36"/>
  <c r="D32" i="36"/>
  <c r="N36" i="36"/>
  <c r="M35" i="36"/>
  <c r="N21" i="36"/>
  <c r="M21" i="36"/>
  <c r="N14" i="36"/>
  <c r="M14" i="36"/>
  <c r="L48" i="36"/>
  <c r="L47" i="36"/>
  <c r="L46" i="36"/>
  <c r="L45" i="36" s="1"/>
  <c r="L37" i="36"/>
  <c r="M37" i="36" s="1"/>
  <c r="L34" i="36"/>
  <c r="M34" i="36" s="1"/>
  <c r="N34" i="36" s="1"/>
  <c r="L33" i="36"/>
  <c r="M33" i="36" s="1"/>
  <c r="N33" i="36" s="1"/>
  <c r="L32" i="36"/>
  <c r="M32" i="36" s="1"/>
  <c r="N32" i="36" s="1"/>
  <c r="L23" i="36"/>
  <c r="L22" i="36"/>
  <c r="M22" i="36" s="1"/>
  <c r="N22" i="36" s="1"/>
  <c r="L21" i="36"/>
  <c r="L20" i="36"/>
  <c r="M20" i="36" s="1"/>
  <c r="N20" i="36" s="1"/>
  <c r="L19" i="36"/>
  <c r="M19" i="36" s="1"/>
  <c r="N19" i="36" s="1"/>
  <c r="L14" i="36"/>
  <c r="K45" i="36"/>
  <c r="K41" i="36" s="1"/>
  <c r="K39" i="36" s="1"/>
  <c r="J45" i="36"/>
  <c r="J41" i="36" s="1"/>
  <c r="I45" i="36"/>
  <c r="I41" i="36"/>
  <c r="K31" i="36"/>
  <c r="K27" i="36" s="1"/>
  <c r="J31" i="36"/>
  <c r="J27" i="36" s="1"/>
  <c r="K18" i="36"/>
  <c r="K10" i="36" s="1"/>
  <c r="J18" i="36"/>
  <c r="J10" i="36" s="1"/>
  <c r="I18" i="36"/>
  <c r="I10" i="36"/>
  <c r="N37" i="36" l="1"/>
  <c r="N27" i="36" s="1"/>
  <c r="J8" i="67"/>
  <c r="M8" i="3"/>
  <c r="N13" i="3"/>
  <c r="O13" i="3" s="1"/>
  <c r="L18" i="36"/>
  <c r="M18" i="36" s="1"/>
  <c r="N18" i="36" s="1"/>
  <c r="L31" i="36"/>
  <c r="M31" i="36" s="1"/>
  <c r="K8" i="36"/>
  <c r="K50" i="36" s="1"/>
  <c r="I8" i="36"/>
  <c r="I50" i="36" s="1"/>
  <c r="J8" i="36"/>
  <c r="J50" i="36" s="1"/>
  <c r="N8" i="3" l="1"/>
  <c r="M5" i="3"/>
  <c r="K8" i="67"/>
  <c r="L8" i="67" s="1"/>
  <c r="J5" i="67"/>
  <c r="K5" i="67" s="1"/>
  <c r="L5" i="67" s="1"/>
  <c r="L10" i="36"/>
  <c r="M10" i="36" s="1"/>
  <c r="N10" i="36" s="1"/>
  <c r="L27" i="36"/>
  <c r="M27" i="36" s="1"/>
  <c r="O27" i="36" s="1"/>
  <c r="E41" i="55"/>
  <c r="L8" i="36" l="1"/>
  <c r="M8" i="36" s="1"/>
  <c r="O8" i="36" l="1"/>
  <c r="N8" i="36"/>
  <c r="L50" i="36"/>
  <c r="M50" i="36" s="1"/>
  <c r="O50" i="36" s="1"/>
  <c r="D11" i="58" l="1"/>
  <c r="M116" i="56"/>
  <c r="O72" i="56"/>
  <c r="M107" i="56"/>
  <c r="M96" i="56"/>
  <c r="M97" i="56"/>
  <c r="M98" i="56"/>
  <c r="M99" i="56"/>
  <c r="M100" i="56"/>
  <c r="M101" i="56"/>
  <c r="M102" i="56"/>
  <c r="M95" i="56"/>
  <c r="M87" i="56"/>
  <c r="M74" i="56"/>
  <c r="M75" i="56"/>
  <c r="M76" i="56"/>
  <c r="M77" i="56"/>
  <c r="M78" i="56"/>
  <c r="M73" i="56"/>
  <c r="M70" i="56"/>
  <c r="M61" i="56"/>
  <c r="M62" i="56"/>
  <c r="M63" i="56"/>
  <c r="M60" i="56"/>
  <c r="M45" i="56"/>
  <c r="M46" i="56"/>
  <c r="M47" i="56"/>
  <c r="M48" i="56"/>
  <c r="M44" i="56"/>
  <c r="M39" i="56"/>
  <c r="M40" i="56"/>
  <c r="M41" i="56"/>
  <c r="M42" i="56"/>
  <c r="M38" i="56"/>
  <c r="M29" i="56"/>
  <c r="M30" i="56"/>
  <c r="M31" i="56"/>
  <c r="M32" i="56"/>
  <c r="M28" i="56"/>
  <c r="M26" i="56"/>
  <c r="M16" i="56"/>
  <c r="H28" i="55" l="1"/>
  <c r="G29" i="55"/>
  <c r="G30" i="55"/>
  <c r="G31" i="55"/>
  <c r="G32" i="55"/>
  <c r="G33" i="55"/>
  <c r="G28" i="55"/>
  <c r="C27" i="55"/>
  <c r="H33" i="55"/>
  <c r="G18" i="55"/>
  <c r="F15" i="55"/>
  <c r="G14" i="55"/>
  <c r="G13" i="55" s="1"/>
  <c r="F13" i="55"/>
  <c r="F6" i="55"/>
  <c r="H14" i="55"/>
  <c r="E9" i="60"/>
  <c r="J15" i="3"/>
  <c r="J16" i="3"/>
  <c r="J17" i="3"/>
  <c r="J18" i="3"/>
  <c r="J19" i="3"/>
  <c r="J14" i="3"/>
  <c r="F5" i="55" l="1"/>
  <c r="F39" i="55" s="1"/>
  <c r="G20" i="36" l="1"/>
  <c r="F19" i="36"/>
  <c r="E19" i="36"/>
  <c r="H14" i="36" l="1"/>
  <c r="H20" i="36"/>
  <c r="H21" i="36"/>
  <c r="H22" i="36"/>
  <c r="H23" i="36"/>
  <c r="N23" i="36" s="1"/>
  <c r="H32" i="36"/>
  <c r="H33" i="36"/>
  <c r="H34" i="36"/>
  <c r="H37" i="36"/>
  <c r="H43" i="36"/>
  <c r="N43" i="36" s="1"/>
  <c r="H46" i="36"/>
  <c r="N46" i="36" s="1"/>
  <c r="H47" i="36"/>
  <c r="H48" i="36"/>
  <c r="N48" i="36" s="1"/>
  <c r="F45" i="36"/>
  <c r="F41" i="36" s="1"/>
  <c r="H10" i="3" s="1"/>
  <c r="G45" i="36"/>
  <c r="G41" i="36" s="1"/>
  <c r="E45" i="36"/>
  <c r="E41" i="36" s="1"/>
  <c r="G10" i="3" s="1"/>
  <c r="F31" i="36"/>
  <c r="F27" i="36" s="1"/>
  <c r="H8" i="3" s="1"/>
  <c r="G31" i="36"/>
  <c r="G27" i="36" s="1"/>
  <c r="I8" i="3" s="1"/>
  <c r="E31" i="36"/>
  <c r="E27" i="36" s="1"/>
  <c r="G8" i="3" s="1"/>
  <c r="G18" i="36"/>
  <c r="G10" i="36" s="1"/>
  <c r="E18" i="36"/>
  <c r="E10" i="36" s="1"/>
  <c r="G6" i="3" s="1"/>
  <c r="F18" i="36"/>
  <c r="F10" i="36" s="1"/>
  <c r="H6" i="3" s="1"/>
  <c r="H45" i="36" l="1"/>
  <c r="N47" i="36"/>
  <c r="I10" i="3"/>
  <c r="G39" i="36"/>
  <c r="H41" i="36"/>
  <c r="H39" i="36" s="1"/>
  <c r="G8" i="36"/>
  <c r="I6" i="3"/>
  <c r="I5" i="3" s="1"/>
  <c r="F8" i="36"/>
  <c r="F50" i="36" s="1"/>
  <c r="E8" i="36"/>
  <c r="E50" i="36" s="1"/>
  <c r="H31" i="36"/>
  <c r="H19" i="36"/>
  <c r="H5" i="3"/>
  <c r="J10" i="3"/>
  <c r="O10" i="3" s="1"/>
  <c r="J8" i="3"/>
  <c r="O8" i="3" s="1"/>
  <c r="P8" i="3" s="1"/>
  <c r="G50" i="36" l="1"/>
  <c r="J6" i="3"/>
  <c r="H18" i="36"/>
  <c r="H10" i="36" s="1"/>
  <c r="J5" i="3" l="1"/>
  <c r="P5" i="3" s="1"/>
  <c r="O6" i="3"/>
  <c r="H8" i="36"/>
  <c r="H50" i="36" s="1"/>
  <c r="O20" i="3" l="1"/>
  <c r="P20" i="3"/>
  <c r="F20" i="60"/>
  <c r="E20" i="60"/>
  <c r="F19" i="60"/>
  <c r="E19" i="60"/>
  <c r="F18" i="60"/>
  <c r="E18" i="60"/>
  <c r="F17" i="60"/>
  <c r="E17" i="60"/>
  <c r="D16" i="60"/>
  <c r="C16" i="60"/>
  <c r="E14" i="60"/>
  <c r="F13" i="60"/>
  <c r="E13" i="60"/>
  <c r="F12" i="60"/>
  <c r="E12" i="60"/>
  <c r="F11" i="60"/>
  <c r="E11" i="60"/>
  <c r="F10" i="60"/>
  <c r="F9" i="60"/>
  <c r="D8" i="60"/>
  <c r="C8" i="60"/>
  <c r="E8" i="60" l="1"/>
  <c r="D22" i="60"/>
  <c r="C22" i="60"/>
  <c r="F16" i="60"/>
  <c r="E16" i="60"/>
  <c r="F8" i="60"/>
  <c r="E22" i="60" l="1"/>
  <c r="F22" i="60"/>
  <c r="G275" i="56"/>
  <c r="F275" i="56" s="1"/>
  <c r="I274" i="56"/>
  <c r="I253" i="56" s="1"/>
  <c r="I239" i="56" s="1"/>
  <c r="H274" i="56"/>
  <c r="G274" i="56"/>
  <c r="P273" i="56"/>
  <c r="O273" i="56"/>
  <c r="N273" i="56"/>
  <c r="G270" i="56"/>
  <c r="F270" i="56" s="1"/>
  <c r="G269" i="56"/>
  <c r="F269" i="56" s="1"/>
  <c r="M263" i="56"/>
  <c r="M262" i="56"/>
  <c r="M261" i="56"/>
  <c r="M259" i="56"/>
  <c r="M258" i="56"/>
  <c r="M257" i="56"/>
  <c r="M256" i="56"/>
  <c r="P255" i="56"/>
  <c r="O255" i="56"/>
  <c r="H255" i="56" s="1"/>
  <c r="N255" i="56"/>
  <c r="I244" i="56"/>
  <c r="H244" i="56"/>
  <c r="P236" i="56"/>
  <c r="I236" i="56" s="1"/>
  <c r="O236" i="56"/>
  <c r="N236" i="56"/>
  <c r="P232" i="56"/>
  <c r="O232" i="56"/>
  <c r="N232" i="56"/>
  <c r="M232" i="56" s="1"/>
  <c r="P230" i="56"/>
  <c r="O230" i="56"/>
  <c r="N230" i="56"/>
  <c r="M226" i="56"/>
  <c r="P225" i="56"/>
  <c r="O225" i="56"/>
  <c r="N225" i="56"/>
  <c r="M225" i="56" s="1"/>
  <c r="P219" i="56"/>
  <c r="O219" i="56"/>
  <c r="N219" i="56"/>
  <c r="M217" i="56"/>
  <c r="M216" i="56"/>
  <c r="M215" i="56"/>
  <c r="P214" i="56"/>
  <c r="O214" i="56"/>
  <c r="N214" i="56"/>
  <c r="M199" i="56"/>
  <c r="P198" i="56"/>
  <c r="O198" i="56"/>
  <c r="I186" i="56"/>
  <c r="H186" i="56"/>
  <c r="I168" i="56"/>
  <c r="H168" i="56"/>
  <c r="F166" i="56"/>
  <c r="P142" i="56"/>
  <c r="O142" i="56"/>
  <c r="N142" i="56"/>
  <c r="M138" i="56"/>
  <c r="P137" i="56"/>
  <c r="O137" i="56"/>
  <c r="N137" i="56"/>
  <c r="O134" i="56"/>
  <c r="M133" i="56"/>
  <c r="M132" i="56"/>
  <c r="M131" i="56"/>
  <c r="M129" i="56"/>
  <c r="M128" i="56"/>
  <c r="M127" i="56"/>
  <c r="P126" i="56"/>
  <c r="O126" i="56"/>
  <c r="N126" i="56"/>
  <c r="M125" i="56"/>
  <c r="M124" i="56"/>
  <c r="M123" i="56"/>
  <c r="M122" i="56"/>
  <c r="P121" i="56"/>
  <c r="O121" i="56"/>
  <c r="N121" i="56"/>
  <c r="M120" i="56"/>
  <c r="P115" i="56"/>
  <c r="O115" i="56"/>
  <c r="N115" i="56"/>
  <c r="M111" i="56"/>
  <c r="M110" i="56"/>
  <c r="M109" i="56"/>
  <c r="M108" i="56"/>
  <c r="M106" i="56"/>
  <c r="P105" i="56"/>
  <c r="O105" i="56"/>
  <c r="N105" i="56"/>
  <c r="M103" i="56"/>
  <c r="P94" i="56"/>
  <c r="O94" i="56"/>
  <c r="N94" i="56"/>
  <c r="P90" i="56"/>
  <c r="O90" i="56"/>
  <c r="N90" i="56"/>
  <c r="P86" i="56"/>
  <c r="O86" i="56"/>
  <c r="N86" i="56"/>
  <c r="M85" i="56"/>
  <c r="M84" i="56"/>
  <c r="M83" i="56"/>
  <c r="M82" i="56"/>
  <c r="P81" i="56"/>
  <c r="O81" i="56"/>
  <c r="N81" i="56"/>
  <c r="M79" i="56"/>
  <c r="P72" i="56"/>
  <c r="N72" i="56"/>
  <c r="M65" i="56"/>
  <c r="P64" i="56"/>
  <c r="O64" i="56"/>
  <c r="N64" i="56"/>
  <c r="P58" i="56"/>
  <c r="O58" i="56"/>
  <c r="N58" i="56"/>
  <c r="M56" i="56"/>
  <c r="M55" i="56"/>
  <c r="M54" i="56"/>
  <c r="M53" i="56"/>
  <c r="P52" i="56"/>
  <c r="O52" i="56"/>
  <c r="N52" i="56"/>
  <c r="M43" i="56"/>
  <c r="P43" i="56"/>
  <c r="O43" i="56"/>
  <c r="N43" i="56"/>
  <c r="P37" i="56"/>
  <c r="O37" i="56"/>
  <c r="N37" i="56"/>
  <c r="P33" i="56"/>
  <c r="O33" i="56"/>
  <c r="N33" i="56"/>
  <c r="P27" i="56"/>
  <c r="O27" i="56"/>
  <c r="N27" i="56"/>
  <c r="P21" i="56"/>
  <c r="N21" i="56"/>
  <c r="M21" i="56" s="1"/>
  <c r="M20" i="56"/>
  <c r="M19" i="56"/>
  <c r="M18" i="56"/>
  <c r="M17" i="56"/>
  <c r="M15" i="56" s="1"/>
  <c r="P15" i="56"/>
  <c r="O15" i="56"/>
  <c r="N15" i="56"/>
  <c r="H213" i="56" l="1"/>
  <c r="G213" i="56"/>
  <c r="F213" i="56" s="1"/>
  <c r="M198" i="56"/>
  <c r="H198" i="56"/>
  <c r="M81" i="56"/>
  <c r="P134" i="56"/>
  <c r="M219" i="56"/>
  <c r="M236" i="56"/>
  <c r="H253" i="56"/>
  <c r="H239" i="56" s="1"/>
  <c r="F186" i="56"/>
  <c r="M27" i="56"/>
  <c r="M126" i="56"/>
  <c r="M33" i="56"/>
  <c r="I36" i="56"/>
  <c r="M94" i="56"/>
  <c r="M121" i="56"/>
  <c r="N134" i="56"/>
  <c r="M134" i="56" s="1"/>
  <c r="F168" i="56"/>
  <c r="F274" i="56"/>
  <c r="M255" i="56"/>
  <c r="M273" i="56"/>
  <c r="M214" i="56"/>
  <c r="M137" i="56"/>
  <c r="M115" i="56"/>
  <c r="M90" i="56"/>
  <c r="M86" i="56"/>
  <c r="M72" i="56"/>
  <c r="G36" i="56"/>
  <c r="I14" i="56"/>
  <c r="P240" i="56"/>
  <c r="M230" i="56"/>
  <c r="I214" i="56"/>
  <c r="P196" i="56"/>
  <c r="N50" i="56"/>
  <c r="P50" i="56"/>
  <c r="O50" i="56"/>
  <c r="O12" i="56"/>
  <c r="I50" i="56"/>
  <c r="M37" i="56"/>
  <c r="M105" i="56"/>
  <c r="P12" i="56"/>
  <c r="O196" i="56"/>
  <c r="F236" i="56"/>
  <c r="N196" i="56"/>
  <c r="G14" i="56"/>
  <c r="H36" i="56"/>
  <c r="M142" i="56"/>
  <c r="H14" i="56"/>
  <c r="M52" i="56"/>
  <c r="M58" i="56"/>
  <c r="M64" i="56"/>
  <c r="P113" i="56"/>
  <c r="N240" i="56"/>
  <c r="I198" i="56"/>
  <c r="O240" i="56"/>
  <c r="G255" i="56"/>
  <c r="O113" i="56"/>
  <c r="H50" i="56" s="1"/>
  <c r="N12" i="56"/>
  <c r="G196" i="56" l="1"/>
  <c r="H196" i="56"/>
  <c r="F198" i="56"/>
  <c r="G50" i="56"/>
  <c r="N113" i="56"/>
  <c r="I12" i="56"/>
  <c r="M240" i="56"/>
  <c r="M12" i="56"/>
  <c r="M113" i="56"/>
  <c r="F36" i="56"/>
  <c r="G12" i="56"/>
  <c r="G10" i="56" s="1"/>
  <c r="F14" i="56"/>
  <c r="I196" i="56"/>
  <c r="F50" i="56"/>
  <c r="M50" i="56"/>
  <c r="I10" i="56"/>
  <c r="P363" i="56"/>
  <c r="H12" i="56"/>
  <c r="H10" i="56" s="1"/>
  <c r="H8" i="56" s="1"/>
  <c r="H363" i="56" s="1"/>
  <c r="M196" i="56"/>
  <c r="N363" i="56"/>
  <c r="O363" i="56"/>
  <c r="F255" i="56"/>
  <c r="G253" i="56"/>
  <c r="F196" i="56" l="1"/>
  <c r="Q196" i="56"/>
  <c r="I8" i="56"/>
  <c r="I363" i="56" s="1"/>
  <c r="F12" i="56"/>
  <c r="G239" i="56"/>
  <c r="F239" i="56" s="1"/>
  <c r="F253" i="56"/>
  <c r="F10" i="56"/>
  <c r="G8" i="56"/>
  <c r="G363" i="56" l="1"/>
  <c r="F363" i="56" s="1"/>
  <c r="F8" i="56"/>
  <c r="G17" i="55" l="1"/>
  <c r="E17" i="55"/>
  <c r="D17" i="55"/>
  <c r="C17" i="55"/>
  <c r="E15" i="55"/>
  <c r="D15" i="55"/>
  <c r="C15" i="55"/>
  <c r="E13" i="55"/>
  <c r="D13" i="55"/>
  <c r="C13" i="55"/>
  <c r="H13" i="55" s="1"/>
  <c r="C8" i="55"/>
  <c r="H8" i="55" s="1"/>
  <c r="E6" i="55"/>
  <c r="D6" i="55"/>
  <c r="D5" i="55" s="1"/>
  <c r="D39" i="55" s="1"/>
  <c r="C6" i="55"/>
  <c r="C5" i="55" s="1"/>
  <c r="C39" i="55" s="1"/>
  <c r="E5" i="55" l="1"/>
  <c r="E39" i="55" s="1"/>
  <c r="H15" i="55"/>
  <c r="H27" i="55"/>
  <c r="G6" i="55"/>
  <c r="H29" i="55"/>
  <c r="H7" i="55"/>
  <c r="G7" i="55"/>
  <c r="H32" i="55"/>
  <c r="H16" i="55"/>
  <c r="G16" i="55"/>
  <c r="H5" i="55" l="1"/>
  <c r="G15" i="55"/>
  <c r="G5" i="55" s="1"/>
  <c r="G39" i="55" s="1"/>
  <c r="H24" i="55"/>
  <c r="N45" i="36"/>
  <c r="H6" i="55"/>
  <c r="H39" i="55" l="1"/>
  <c r="I13" i="3" l="1"/>
  <c r="D31" i="36" l="1"/>
  <c r="N31" i="36" s="1"/>
  <c r="D18" i="36"/>
  <c r="D10" i="36" s="1"/>
  <c r="D45" i="36"/>
  <c r="D41" i="36" l="1"/>
  <c r="D27" i="36"/>
  <c r="D8" i="36"/>
  <c r="D39" i="36" l="1"/>
  <c r="D50" i="36" s="1"/>
  <c r="G13" i="3" l="1"/>
  <c r="H13" i="3"/>
  <c r="P13" i="3"/>
  <c r="G5" i="3" l="1"/>
  <c r="J13" i="3" l="1"/>
  <c r="N41" i="36" l="1"/>
  <c r="N39" i="36" s="1"/>
  <c r="N50" i="36" s="1"/>
  <c r="M363" i="56" l="1"/>
  <c r="Q197" i="5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szuniga</author>
  </authors>
  <commentList>
    <comment ref="U90" authorId="0" shapeId="0" xr:uid="{CD3972E8-B780-4644-A733-559EAADF09CE}">
      <text>
        <r>
          <rPr>
            <b/>
            <sz val="9"/>
            <color indexed="81"/>
            <rFont val="Tahoma"/>
            <family val="2"/>
          </rPr>
          <t>szuniga:</t>
        </r>
        <r>
          <rPr>
            <sz val="9"/>
            <color indexed="81"/>
            <rFont val="Tahoma"/>
            <family val="2"/>
          </rPr>
          <t xml:space="preserve">
Francisco: Indica que se debe cambiar a la meta SA0101 ya que DSA0101 es Planilla. 
Gabriela: Hay que cambiarlo a TICs
Se genrea el MN01-2021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Cristina Sánchez</author>
  </authors>
  <commentList>
    <comment ref="D5" authorId="0" shapeId="0" xr:uid="{2F3EAE7E-570B-419B-A965-418BD2A7029F}">
      <text>
        <r>
          <rPr>
            <b/>
            <sz val="9"/>
            <color indexed="81"/>
            <rFont val="Tahoma"/>
            <family val="2"/>
          </rPr>
          <t>Cristina Sánchez:</t>
        </r>
        <r>
          <rPr>
            <sz val="9"/>
            <color indexed="81"/>
            <rFont val="Tahoma"/>
            <family val="2"/>
          </rPr>
          <t xml:space="preserve">
al 27/06/2021, según Tesoro Digital
</t>
        </r>
      </text>
    </comment>
    <comment ref="D7" authorId="0" shapeId="0" xr:uid="{20E55E7F-A1ED-47B5-AFA2-E9659F3EFBCC}">
      <text>
        <r>
          <rPr>
            <b/>
            <sz val="9"/>
            <color indexed="81"/>
            <rFont val="Tahoma"/>
            <family val="2"/>
          </rPr>
          <t>Cristina Sánchez:</t>
        </r>
        <r>
          <rPr>
            <sz val="9"/>
            <color indexed="81"/>
            <rFont val="Tahoma"/>
            <family val="2"/>
          </rPr>
          <t xml:space="preserve">
al saldo se rebajan ¢986,508.83 (CCH, comisión BCR, devol multa y diferencia)</t>
        </r>
      </text>
    </comment>
  </commentList>
</comments>
</file>

<file path=xl/sharedStrings.xml><?xml version="1.0" encoding="utf-8"?>
<sst xmlns="http://schemas.openxmlformats.org/spreadsheetml/2006/main" count="3520" uniqueCount="1192">
  <si>
    <t>Servicios</t>
  </si>
  <si>
    <t>Total general</t>
  </si>
  <si>
    <t>Transferencias corrientes</t>
  </si>
  <si>
    <t>Remuneraciones</t>
  </si>
  <si>
    <t>Bienes duraderos</t>
  </si>
  <si>
    <t>TRANSFERENCIAS CORRIENTES</t>
  </si>
  <si>
    <t>TOTAL</t>
  </si>
  <si>
    <t>Ingresos no tributarios</t>
  </si>
  <si>
    <t>Caja Única Fondo Incentivos</t>
  </si>
  <si>
    <t>Ley 7169 Fondo Incentivos</t>
  </si>
  <si>
    <t>Recursos vigencias anteriores</t>
  </si>
  <si>
    <t>Materiales y Suministros</t>
  </si>
  <si>
    <t>BCR  Fondo Incentivos pendiente de trasladar a CU</t>
  </si>
  <si>
    <t>Cuentas especiales</t>
  </si>
  <si>
    <t>% de ejecución</t>
  </si>
  <si>
    <t>001 Transferencias corrientes Ley 5048 CONICIT</t>
  </si>
  <si>
    <t>001 Transferencias corrientes Ley 7169 Fondo de Incentivos</t>
  </si>
  <si>
    <t>001 Transferencias corrientes Ley 8262 Propyme</t>
  </si>
  <si>
    <t>900 Superavit libre Ley 5048 CONICIT</t>
  </si>
  <si>
    <t>924 Superavit específico 3% Propyme</t>
  </si>
  <si>
    <t>Saldo disponible</t>
  </si>
  <si>
    <t>Ley 9028 Fondo Control de Tabaco</t>
  </si>
  <si>
    <t>0.01.01</t>
  </si>
  <si>
    <t>0.01.05</t>
  </si>
  <si>
    <t>REMUNERACIONES EVENTUALES</t>
  </si>
  <si>
    <t>0.02.05</t>
  </si>
  <si>
    <t>Dietas</t>
  </si>
  <si>
    <t>0.03</t>
  </si>
  <si>
    <t>INCENTIVOS SALARIALES</t>
  </si>
  <si>
    <t>0.03.01</t>
  </si>
  <si>
    <t>Retribución por años servidos</t>
  </si>
  <si>
    <t>0.03.02</t>
  </si>
  <si>
    <t>Restricción al ejercicio liberal de la profesión</t>
  </si>
  <si>
    <t>0.03.03</t>
  </si>
  <si>
    <t>Decimotercer mes</t>
  </si>
  <si>
    <t>0.03.04</t>
  </si>
  <si>
    <t>Salario escolar</t>
  </si>
  <si>
    <t>0.03.99</t>
  </si>
  <si>
    <t>Otros incentivos salariales</t>
  </si>
  <si>
    <t>0.04</t>
  </si>
  <si>
    <t>CONTRIBUCIONES PATRONALES AL DESARROLLO Y LA SEGURIDAD SOCIAL</t>
  </si>
  <si>
    <t>0.04.01</t>
  </si>
  <si>
    <t>0.04.03</t>
  </si>
  <si>
    <t>0.04.04</t>
  </si>
  <si>
    <t>0.04.05</t>
  </si>
  <si>
    <t>0.05</t>
  </si>
  <si>
    <t>0.05.01</t>
  </si>
  <si>
    <t>0.05.02</t>
  </si>
  <si>
    <t>0.05.03</t>
  </si>
  <si>
    <t>0.05.05</t>
  </si>
  <si>
    <t>1.01.99</t>
  </si>
  <si>
    <t>Otros alquileres</t>
  </si>
  <si>
    <t>1.02</t>
  </si>
  <si>
    <t>1.02.01</t>
  </si>
  <si>
    <t>1.02.02</t>
  </si>
  <si>
    <t>Servicio de energía eléctrica</t>
  </si>
  <si>
    <t>1.02.03</t>
  </si>
  <si>
    <t>Servicio de correo</t>
  </si>
  <si>
    <t>1.02.04</t>
  </si>
  <si>
    <t>Servicio de telecomunicaciones</t>
  </si>
  <si>
    <t>1.02.99</t>
  </si>
  <si>
    <t>1.03</t>
  </si>
  <si>
    <t>SERVICIOS COMERCIALES Y FINANCIEROS</t>
  </si>
  <si>
    <t>1.03.01</t>
  </si>
  <si>
    <t>1.03.03</t>
  </si>
  <si>
    <t>Impresión, encuadernación y otros</t>
  </si>
  <si>
    <t>1.03.06</t>
  </si>
  <si>
    <t>1.03.07</t>
  </si>
  <si>
    <t>1.04.01</t>
  </si>
  <si>
    <t>1.04</t>
  </si>
  <si>
    <t>1.04.04</t>
  </si>
  <si>
    <t>001 Transferencias corrientes 3% Propyme</t>
  </si>
  <si>
    <t>1.04.06</t>
  </si>
  <si>
    <t>1.04.99</t>
  </si>
  <si>
    <t>GASTOS DE VIAJE Y DE TRANSPORTE</t>
  </si>
  <si>
    <t>1.05.01</t>
  </si>
  <si>
    <t>Transporte dentro del país</t>
  </si>
  <si>
    <t>1.05.02</t>
  </si>
  <si>
    <t>Viáticos dentro del país</t>
  </si>
  <si>
    <t>SEGUROS, REASEGUROS Y OTRAS OBLIGACIONES</t>
  </si>
  <si>
    <t>1.06.01</t>
  </si>
  <si>
    <t>CAPACITACIÓN Y PROTOCOLO</t>
  </si>
  <si>
    <t>1.07.01</t>
  </si>
  <si>
    <t>Actividades de capacitación</t>
  </si>
  <si>
    <t>1.08.01</t>
  </si>
  <si>
    <t>Mantenimiento de edificios, locales y terrenos</t>
  </si>
  <si>
    <t>1.08.04</t>
  </si>
  <si>
    <t>Mantenimiento y reparación de maquinaria y equipo de producción</t>
  </si>
  <si>
    <t>1.08.05</t>
  </si>
  <si>
    <t>1.08</t>
  </si>
  <si>
    <t>1.08.06</t>
  </si>
  <si>
    <t>Mantenimiento y reparación de equipo de comunicación</t>
  </si>
  <si>
    <t>1.08.07</t>
  </si>
  <si>
    <t>1.08.08</t>
  </si>
  <si>
    <t>IMPUESTOS</t>
  </si>
  <si>
    <t>1.09.99</t>
  </si>
  <si>
    <t>Otros impuestos</t>
  </si>
  <si>
    <t>2.01</t>
  </si>
  <si>
    <t>2.01.01</t>
  </si>
  <si>
    <t>Combustibles y lubricantes</t>
  </si>
  <si>
    <t>2.01.04</t>
  </si>
  <si>
    <t>2.03.04</t>
  </si>
  <si>
    <t>Materiales y productos eléctricos, telefónicos y de cómputo</t>
  </si>
  <si>
    <t>2.99</t>
  </si>
  <si>
    <t>2.99.01</t>
  </si>
  <si>
    <t>Útiles y materiales de oficina y cómputo</t>
  </si>
  <si>
    <t>2.99.03</t>
  </si>
  <si>
    <t>Productos de papel, cartón e impresos</t>
  </si>
  <si>
    <t>2.99.05</t>
  </si>
  <si>
    <t>Útiles y materiales de limpieza</t>
  </si>
  <si>
    <t>2.99.99</t>
  </si>
  <si>
    <t>MAQUINARIA, EQUIPO Y MOBILIARIO</t>
  </si>
  <si>
    <t>5.01.04</t>
  </si>
  <si>
    <t>Equipo y mobiliario de oficina</t>
  </si>
  <si>
    <t>5.01.05</t>
  </si>
  <si>
    <t>5.01.06</t>
  </si>
  <si>
    <t>Equipo sanitario, de laboratorio e investigación</t>
  </si>
  <si>
    <t>5.01.99</t>
  </si>
  <si>
    <t>BIENES DURADEROS DIVERSOS</t>
  </si>
  <si>
    <t>5.99.03</t>
  </si>
  <si>
    <t>Bienes intangibles</t>
  </si>
  <si>
    <t>6 TRANSFERENCIAS CORRIENTES</t>
  </si>
  <si>
    <t>6.01</t>
  </si>
  <si>
    <t>6.01.02</t>
  </si>
  <si>
    <t>6.01.03</t>
  </si>
  <si>
    <t>001 Transferencias corrientes Ley 9028 Tabaco</t>
  </si>
  <si>
    <t>6.01.08</t>
  </si>
  <si>
    <t xml:space="preserve"> Aporte Ley 8262 Fondo PROPYME</t>
  </si>
  <si>
    <t>TRANSFERENCIAS CORRIENTES A PERSONAS</t>
  </si>
  <si>
    <t>6.02.02</t>
  </si>
  <si>
    <t>Becas a terceras personas</t>
  </si>
  <si>
    <t>6.02.99</t>
  </si>
  <si>
    <t>Otras transferencias a personas</t>
  </si>
  <si>
    <t>6.03.01</t>
  </si>
  <si>
    <t>Prestaciones legales</t>
  </si>
  <si>
    <t>TRANSFERENCIAS CORRIENTES A ENTIDADES PRIVADAS SIN FINES DE LUCRO</t>
  </si>
  <si>
    <t>6.04.01</t>
  </si>
  <si>
    <t>6.04.02</t>
  </si>
  <si>
    <t>6.04.03</t>
  </si>
  <si>
    <t>TRANSFERENCIAS CORRIENTES A EMPRESAS PRIVADAS</t>
  </si>
  <si>
    <t>6.05.01</t>
  </si>
  <si>
    <t>6.06.01</t>
  </si>
  <si>
    <t>Indemnizaciones</t>
  </si>
  <si>
    <t>6.06.02</t>
  </si>
  <si>
    <t>Reintegros o devoluciones</t>
  </si>
  <si>
    <t>6.07</t>
  </si>
  <si>
    <t>TRANSFERENCIAS CORRIENTES AL SECTOR EXTERNO</t>
  </si>
  <si>
    <t>6.07.01</t>
  </si>
  <si>
    <t>6.03.99</t>
  </si>
  <si>
    <t>INGRESOS REALES</t>
  </si>
  <si>
    <t>GASTOS EJECUTADOS</t>
  </si>
  <si>
    <t>INGRESOS CORRIENTES</t>
  </si>
  <si>
    <t>1.3.0.0.00.00.0.0.000</t>
  </si>
  <si>
    <t>INGRESOS NO TRIBUTARIOS</t>
  </si>
  <si>
    <t>1.3.9.0.00.00.0.0.000</t>
  </si>
  <si>
    <t>OTROS INGRESOS NO TRIBUTARIOS</t>
  </si>
  <si>
    <t>1.4.0.0.00.00.0.0.000</t>
  </si>
  <si>
    <t xml:space="preserve">      </t>
  </si>
  <si>
    <t>1.4.1.0.00.00.0.0.000</t>
  </si>
  <si>
    <t>TRANSFERENCIAS CORRIENTES DEL SECTOR PÚBLICO</t>
  </si>
  <si>
    <t>1.4.1.1.00.00.0.0.000</t>
  </si>
  <si>
    <t>Transferencias corrientes del Gobierno Central:</t>
  </si>
  <si>
    <t xml:space="preserve"> Aporte Ley 5048 Recursos Propios</t>
  </si>
  <si>
    <t xml:space="preserve"> Aporte Ley 7169 Fondo Incentivos</t>
  </si>
  <si>
    <t xml:space="preserve"> Aporte Ley 9028 Fondo Control de Tabaco</t>
  </si>
  <si>
    <t>1.4.1.6.00.00.0.0.000</t>
  </si>
  <si>
    <t>Transferencias corrientes de Instituciones Públicas Financieras (3% Propyme según la Ley 8262)</t>
  </si>
  <si>
    <t>3.0.0.0.00.00.0.0.000</t>
  </si>
  <si>
    <t>FINANCIAMIENTO</t>
  </si>
  <si>
    <t>3.3.0.0.00.00.0.0.000</t>
  </si>
  <si>
    <t>RECURSOS DE VIGENCIAS ANTERIORES</t>
  </si>
  <si>
    <t>3.3.1.0.00.00.0.0.000</t>
  </si>
  <si>
    <t>3.3.2.0.00.00.0.0.000</t>
  </si>
  <si>
    <t xml:space="preserve">Ley 8262 (3% Propyme) </t>
  </si>
  <si>
    <t>TOTAL PRESUPUESTO INGRESOS</t>
  </si>
  <si>
    <t xml:space="preserve"> </t>
  </si>
  <si>
    <t>6.01.08 Fondos en Fideicomiso para gasto corriente</t>
  </si>
  <si>
    <t>Fideicomiso 25-02 Fondo Propyme</t>
  </si>
  <si>
    <t>Servicios de tecnologías de información</t>
  </si>
  <si>
    <t>Servicios en ciencias de la salud</t>
  </si>
  <si>
    <t>Servicios en ciencias económicas y sociales</t>
  </si>
  <si>
    <t>1.05.03</t>
  </si>
  <si>
    <t>Transporte en el exterior</t>
  </si>
  <si>
    <t>1.05.04</t>
  </si>
  <si>
    <t>Viáticos en el exterior</t>
  </si>
  <si>
    <t>Transferencias corrientes a asociaciones</t>
  </si>
  <si>
    <t>Transferencias corrientes a cooperativas</t>
  </si>
  <si>
    <t>Transferencias corrientes a empresas privadas</t>
  </si>
  <si>
    <t>Transferencias corrientes a organismos internacionales</t>
  </si>
  <si>
    <t>6.03.99 Otras prestaciones</t>
  </si>
  <si>
    <t>6.01.03 Transferencias Corrientes a Instituciones Descentralizadas no empresariales</t>
  </si>
  <si>
    <t>CLASIFICADOR ECONÓMICO DEL GASTO DEL SECTOR PÚBLICO</t>
  </si>
  <si>
    <t>MONTO ACUMULADO</t>
  </si>
  <si>
    <t>PROGRAMA 1 
Promoción de la
Ciencia,
Tecnología e
Innovación</t>
  </si>
  <si>
    <t>PROGRAMA 2
Gestión
Administrativa</t>
  </si>
  <si>
    <t>PROGRAMA 3
Desarrollo Científico y Tecnológico</t>
  </si>
  <si>
    <t>Código por CE</t>
  </si>
  <si>
    <t>Código por OBG</t>
  </si>
  <si>
    <t>CLASIFICADOR POR OBJETO DEL GASTO DEL SECTOR PÚBLICO</t>
  </si>
  <si>
    <t>1</t>
  </si>
  <si>
    <t>GASTOS CORRIENTES</t>
  </si>
  <si>
    <t>1.1</t>
  </si>
  <si>
    <t>GASTOS DE CONSUMO</t>
  </si>
  <si>
    <t>1.1.1</t>
  </si>
  <si>
    <t>REMUNERACIONES</t>
  </si>
  <si>
    <t>1.1.1.1</t>
  </si>
  <si>
    <t xml:space="preserve">Sueldos y salarios </t>
  </si>
  <si>
    <t>0.0 1</t>
  </si>
  <si>
    <t>REMUNERACIONES BÁSICAS</t>
  </si>
  <si>
    <t xml:space="preserve">Sueldos para cargos fijos </t>
  </si>
  <si>
    <t>0.01.02</t>
  </si>
  <si>
    <t>Jornales</t>
  </si>
  <si>
    <t>0.01.03</t>
  </si>
  <si>
    <t>Servicios especiales</t>
  </si>
  <si>
    <t>0.01.04</t>
  </si>
  <si>
    <t>Sueldos a base de comisión</t>
  </si>
  <si>
    <t xml:space="preserve">Suplencias </t>
  </si>
  <si>
    <t>0.02</t>
  </si>
  <si>
    <t>0.02.01</t>
  </si>
  <si>
    <t>Tiempo extraordinario</t>
  </si>
  <si>
    <t>0.02.02</t>
  </si>
  <si>
    <t>Recargo de funciones</t>
  </si>
  <si>
    <t>0.02.03</t>
  </si>
  <si>
    <t>Disponibilidad laboral</t>
  </si>
  <si>
    <t>0.02.04</t>
  </si>
  <si>
    <t>Compensación de vacaciones</t>
  </si>
  <si>
    <t>0.99</t>
  </si>
  <si>
    <t>REMUNERACIONES DIVERSAS</t>
  </si>
  <si>
    <t>0.99.01</t>
  </si>
  <si>
    <t>Gastos de representación personal</t>
  </si>
  <si>
    <t>0.99.99</t>
  </si>
  <si>
    <t>Otras remuneraciones</t>
  </si>
  <si>
    <t>1.1.1.2</t>
  </si>
  <si>
    <t>Contribuciones sociales</t>
  </si>
  <si>
    <t>Contribución Patronal al Seguro de Salud de la Caja Costarricense de Seguro Social</t>
  </si>
  <si>
    <t>0.04.02</t>
  </si>
  <si>
    <t xml:space="preserve">Contribución Patronal al Instituto Mixto de Ayuda Social </t>
  </si>
  <si>
    <t xml:space="preserve">Contribución Patronal al Instituto Nacional de Aprendizaje  </t>
  </si>
  <si>
    <t>Contribución Patronal al Fondo de Desarrollo Social  y Asignaciones Familiares</t>
  </si>
  <si>
    <t>Contribución Patronal al Banco Popular y de Desarrollo  Comunal</t>
  </si>
  <si>
    <t>CONTRIBUCIONES PATRONALES A FONDOS DE PENSIONES Y OTROS FONDOS DE CAPITALIZACIÓN</t>
  </si>
  <si>
    <t xml:space="preserve">Contribución Patronal al Seguro de Pensiones de la Caja Costarricense de Seguro Social  </t>
  </si>
  <si>
    <t xml:space="preserve">Aporte Patronal al Régimen Obligatorio de Pensiones  Complementarias </t>
  </si>
  <si>
    <t xml:space="preserve">Aporte Patronal al Fondo de Capitalización Laboral </t>
  </si>
  <si>
    <t>0.05.04</t>
  </si>
  <si>
    <t>Contribución Patronal a otros fondos administrados por entes públicos</t>
  </si>
  <si>
    <t>Contribución Patronal a otros fondos administrados por entes privados</t>
  </si>
  <si>
    <t>1.1.2</t>
  </si>
  <si>
    <t>ADQUISICIÓN DE BIENES Y SERVICIOS</t>
  </si>
  <si>
    <t xml:space="preserve">SERVICIOS </t>
  </si>
  <si>
    <t>1.01</t>
  </si>
  <si>
    <t xml:space="preserve">ALQUILERES </t>
  </si>
  <si>
    <t>1.01.01</t>
  </si>
  <si>
    <t>Alquiler de edificios, locales y terrenos</t>
  </si>
  <si>
    <t>1.01.02</t>
  </si>
  <si>
    <t>Alquiler de maquinaria, equipo y mobiliario</t>
  </si>
  <si>
    <t>1.01.03</t>
  </si>
  <si>
    <t>Alquiler de equipo de cómputo</t>
  </si>
  <si>
    <t>1.01.04</t>
  </si>
  <si>
    <t>Alquiler  de equipo y derechos para telecomunicaciones</t>
  </si>
  <si>
    <t>SERVICIOS BÁSICOS</t>
  </si>
  <si>
    <t xml:space="preserve">Servicio de agua y alcantarillado </t>
  </si>
  <si>
    <t xml:space="preserve">Otros servicios básicos </t>
  </si>
  <si>
    <t xml:space="preserve">Información </t>
  </si>
  <si>
    <t>1.03.02</t>
  </si>
  <si>
    <t>Publicidad y propaganda</t>
  </si>
  <si>
    <t>1.03.04</t>
  </si>
  <si>
    <t>Transporte de bienes</t>
  </si>
  <si>
    <t>1.03.05</t>
  </si>
  <si>
    <t>Servicios aduaneros</t>
  </si>
  <si>
    <t>Comisiones y gastos por servicios financieros y comerciales</t>
  </si>
  <si>
    <t>SERVICIOS DE GESTIÓN Y APOYO</t>
  </si>
  <si>
    <t>1.04.02</t>
  </si>
  <si>
    <t xml:space="preserve">Servicios jurídicos </t>
  </si>
  <si>
    <t>1.04.03</t>
  </si>
  <si>
    <t>Servicios de ingeniería y arquitectura</t>
  </si>
  <si>
    <t>1.04.05</t>
  </si>
  <si>
    <t>Servicios informáticos</t>
  </si>
  <si>
    <t xml:space="preserve">Servicios generales </t>
  </si>
  <si>
    <t>Otros servicios de gestión y apoyo</t>
  </si>
  <si>
    <t>1.05</t>
  </si>
  <si>
    <t>1.06</t>
  </si>
  <si>
    <t xml:space="preserve">Seguros </t>
  </si>
  <si>
    <t>1.06.02</t>
  </si>
  <si>
    <t xml:space="preserve">Reaseguros </t>
  </si>
  <si>
    <t>1.06.03</t>
  </si>
  <si>
    <t>Obligaciones por contratos de seguros</t>
  </si>
  <si>
    <t>1.07</t>
  </si>
  <si>
    <t>1.07.02</t>
  </si>
  <si>
    <t xml:space="preserve">Actividades protocolarias y sociales </t>
  </si>
  <si>
    <t>1.07.03</t>
  </si>
  <si>
    <t>Gastos de representación institucional</t>
  </si>
  <si>
    <t>MANTENIMIENTO Y REPARACIÓN</t>
  </si>
  <si>
    <t>1.08.02</t>
  </si>
  <si>
    <t>Mantenimiento de vías de comunicación</t>
  </si>
  <si>
    <t>1.08.03</t>
  </si>
  <si>
    <t>Mantenimiento de instalaciones y otras obras</t>
  </si>
  <si>
    <t>Mantenimiento y reparación de equipo de transporte</t>
  </si>
  <si>
    <t>Mantenimiento y reparación de equipo y mobiliario de oficina</t>
  </si>
  <si>
    <t>Mantenimiento y reparación de equipo de cómputo y  sistemas de informacion</t>
  </si>
  <si>
    <t>1.08.99</t>
  </si>
  <si>
    <t>Mantenimiento y reparación de otros equipos</t>
  </si>
  <si>
    <t>1.99</t>
  </si>
  <si>
    <t>SERVICIOS DIVERSOS</t>
  </si>
  <si>
    <t>1.99.01</t>
  </si>
  <si>
    <t>Servicios de regulación</t>
  </si>
  <si>
    <t>1.99.02</t>
  </si>
  <si>
    <t>Intereses moratorios y multas</t>
  </si>
  <si>
    <t>1.99.03</t>
  </si>
  <si>
    <t>Gastos de oficinas en el exterior</t>
  </si>
  <si>
    <t>1.99.04</t>
  </si>
  <si>
    <t>Gastos de misiones especiales en el exterior</t>
  </si>
  <si>
    <t>1.99.05</t>
  </si>
  <si>
    <t>Deducibles</t>
  </si>
  <si>
    <t>1.99.99</t>
  </si>
  <si>
    <t>Otros servicios no especificados</t>
  </si>
  <si>
    <t>MATERIALES Y SUMINISTROS</t>
  </si>
  <si>
    <t>PRODUCTOS QUÍMICOS Y CONEXOS</t>
  </si>
  <si>
    <t>2.01.02</t>
  </si>
  <si>
    <t>Productos farmacéuticos y medicinales</t>
  </si>
  <si>
    <t>2.01.03</t>
  </si>
  <si>
    <t>Productos veterinarios</t>
  </si>
  <si>
    <t xml:space="preserve">Tintas, pinturas y diluyentes </t>
  </si>
  <si>
    <t>2.01.99</t>
  </si>
  <si>
    <t>Otros productos químicos y conexos</t>
  </si>
  <si>
    <t>2.02</t>
  </si>
  <si>
    <t>ALIMENTOS Y PRODUCTOS AGROPECUARIOS</t>
  </si>
  <si>
    <t>2.02.01</t>
  </si>
  <si>
    <t>Productos pecuarios y otras especies</t>
  </si>
  <si>
    <t>2.02.02</t>
  </si>
  <si>
    <t>Productos agroforestales</t>
  </si>
  <si>
    <t>2.02.03</t>
  </si>
  <si>
    <t>Alimentos y bebidas</t>
  </si>
  <si>
    <t>2.02.04</t>
  </si>
  <si>
    <t>Alimentos para animales</t>
  </si>
  <si>
    <t>2.03</t>
  </si>
  <si>
    <t>MATERIALES Y PRODUCTOS DE USO EN LA CONSTRUCCIÓN Y MANTENIMIENTO</t>
  </si>
  <si>
    <t>2.03.01</t>
  </si>
  <si>
    <t>Materiales y productos metálicos</t>
  </si>
  <si>
    <t>2.03.02</t>
  </si>
  <si>
    <t>Materiales y productos minerales y asfálticos</t>
  </si>
  <si>
    <t>2.03.03</t>
  </si>
  <si>
    <t>Madera y sus derivados</t>
  </si>
  <si>
    <t>2.03.05</t>
  </si>
  <si>
    <t>Materiales y productos de vidrio</t>
  </si>
  <si>
    <t>2.03.06</t>
  </si>
  <si>
    <t>Materiales y productos de plástico</t>
  </si>
  <si>
    <t>2.03.99</t>
  </si>
  <si>
    <t>Otros materiales y productos de uso en la construcción y mantenimiento.</t>
  </si>
  <si>
    <t>2.04</t>
  </si>
  <si>
    <t>HERRAMIENTAS, REPUESTOS Y ACCESORIOS</t>
  </si>
  <si>
    <t>2.04.01</t>
  </si>
  <si>
    <t>Herramientas e instrumentos</t>
  </si>
  <si>
    <t>2.04.02</t>
  </si>
  <si>
    <t>Repuestos y accesorios</t>
  </si>
  <si>
    <t>2.05</t>
  </si>
  <si>
    <t>BIENES PARA LA PRODUCCIÓN Y COMERCIALIZACIÓN</t>
  </si>
  <si>
    <t>2.05.01</t>
  </si>
  <si>
    <t>Materia prima</t>
  </si>
  <si>
    <t>2.05.02</t>
  </si>
  <si>
    <t>Productos terminados</t>
  </si>
  <si>
    <t>2.05.03</t>
  </si>
  <si>
    <t>Energía eléctrica</t>
  </si>
  <si>
    <t>2.05.99</t>
  </si>
  <si>
    <t>Otros bienes para la producción y comercialización</t>
  </si>
  <si>
    <t>ÚTILES, MATERIALES Y SUMINISTROS DIVERSOS</t>
  </si>
  <si>
    <t>2.99.02</t>
  </si>
  <si>
    <t>Útiles y materiales médico, hospitalario y de investigación</t>
  </si>
  <si>
    <t>2.99.04</t>
  </si>
  <si>
    <t>Textiles y vestuario</t>
  </si>
  <si>
    <t>2.99.06</t>
  </si>
  <si>
    <t>Útiles y materiales de resguardo y seguridad</t>
  </si>
  <si>
    <t>2.99.07</t>
  </si>
  <si>
    <t>Útiles y materiales de cocina y comedor</t>
  </si>
  <si>
    <t>Otros útiles, materiales y suministros diversos</t>
  </si>
  <si>
    <t xml:space="preserve">INTERESES Y COMISIONES </t>
  </si>
  <si>
    <t>3.04</t>
  </si>
  <si>
    <t>COMISIONES Y OTROS GASTOS</t>
  </si>
  <si>
    <t>3.04.01</t>
  </si>
  <si>
    <t>Comisiones y otros gastos sobre títulos valores internos</t>
  </si>
  <si>
    <t>3.04.02</t>
  </si>
  <si>
    <t>Comisiones  y otros gastos sobre títulos valores del sector externo</t>
  </si>
  <si>
    <t>3.04.03</t>
  </si>
  <si>
    <t>Comisiones y otros gastos sobre préstamos internos</t>
  </si>
  <si>
    <t>3.04.04</t>
  </si>
  <si>
    <t>Comisiones y otros gastos sobre préstamos del sector externo</t>
  </si>
  <si>
    <t>CUENTAS ESPECIALES</t>
  </si>
  <si>
    <t>9.01</t>
  </si>
  <si>
    <t>CUENTAS ESPECIALES DIVERSAS</t>
  </si>
  <si>
    <t>9.01.01</t>
  </si>
  <si>
    <t>Gastos confidenciales</t>
  </si>
  <si>
    <t>1.2</t>
  </si>
  <si>
    <t>INTERESES</t>
  </si>
  <si>
    <t>INTERESES Y COMISIONES</t>
  </si>
  <si>
    <t>1.2.1</t>
  </si>
  <si>
    <t>Internos</t>
  </si>
  <si>
    <t>3.01</t>
  </si>
  <si>
    <t>INTERESES SOBRE TÍTULOS VALORES</t>
  </si>
  <si>
    <t>3.01.01</t>
  </si>
  <si>
    <t>Intereses sobre títulos valores internos de corto plazo</t>
  </si>
  <si>
    <t>3.01.02</t>
  </si>
  <si>
    <t>Intereses sobre títulos valores internos de largo plazo</t>
  </si>
  <si>
    <t>3.02</t>
  </si>
  <si>
    <t>INTERESES SOBRE PRÉSTAMOS</t>
  </si>
  <si>
    <t>3.02.01</t>
  </si>
  <si>
    <t xml:space="preserve">Intereses sobre préstamos del Gobierno Central </t>
  </si>
  <si>
    <t>3.02.02</t>
  </si>
  <si>
    <t>Intereses sobre préstamos de Órganos Desconcentrados</t>
  </si>
  <si>
    <t>3.02.03</t>
  </si>
  <si>
    <t>Intereses sobre préstamos de Instituciones Descentralizadas  no Empresariales</t>
  </si>
  <si>
    <t>3.02.04</t>
  </si>
  <si>
    <t>Intereses sobre préstamos de Gobiernos Locales</t>
  </si>
  <si>
    <t>3.02.05</t>
  </si>
  <si>
    <t>Intereses sobre préstamos de Empresas Públicas no Financieras</t>
  </si>
  <si>
    <t>3.02.06</t>
  </si>
  <si>
    <t xml:space="preserve">Intereses sobre préstamos de  Instituciones Públicas Financieras   </t>
  </si>
  <si>
    <t>3.02.07</t>
  </si>
  <si>
    <t>Intereses sobre préstamos del Sector Privado</t>
  </si>
  <si>
    <t>3.03</t>
  </si>
  <si>
    <t>INTERESES SOBRE OTRAS OBLIGACIONES</t>
  </si>
  <si>
    <t>3.03.01</t>
  </si>
  <si>
    <t>Intereses sobre depósitos bancarios a la vista</t>
  </si>
  <si>
    <t>3.03.99</t>
  </si>
  <si>
    <t>Intereses sobre otras obligaciones</t>
  </si>
  <si>
    <t>3.04.05</t>
  </si>
  <si>
    <t>Diferencias por tipo de cambio</t>
  </si>
  <si>
    <t xml:space="preserve">1.2.2 </t>
  </si>
  <si>
    <t>Externos</t>
  </si>
  <si>
    <t>1.2.2</t>
  </si>
  <si>
    <t>3.01.03</t>
  </si>
  <si>
    <t>Intereses sobre títulos valores del sector externo de corto plazo</t>
  </si>
  <si>
    <t>3.01.04</t>
  </si>
  <si>
    <t>Intereses sobre títulos valores del sector externo de largo plazo</t>
  </si>
  <si>
    <t>3.02.08</t>
  </si>
  <si>
    <t>Intereses sobre préstamos del Sector Externo</t>
  </si>
  <si>
    <t>1.3</t>
  </si>
  <si>
    <t>1.3.1</t>
  </si>
  <si>
    <t xml:space="preserve">Transferencias corrientes al Sector Público </t>
  </si>
  <si>
    <t>TRANSFERENCIAS CORRIENTES AL SECTOR PÚBLICO</t>
  </si>
  <si>
    <t>6.01.01</t>
  </si>
  <si>
    <t>Transferencias corrientes al Gobierno Central</t>
  </si>
  <si>
    <t>Transferencias corrientes a Órganos Desconcentrados</t>
  </si>
  <si>
    <t>Transferencias corrientes a Instituciones Descentralizadas no  Empresariales</t>
  </si>
  <si>
    <t>6.01.04</t>
  </si>
  <si>
    <t>Transferencias corrientes a Gobiernos Locales.</t>
  </si>
  <si>
    <t>6.01.05</t>
  </si>
  <si>
    <t>Transferencias corrientes a Empresas Públicas no Financieras</t>
  </si>
  <si>
    <t>6.01.06</t>
  </si>
  <si>
    <t xml:space="preserve">Transferencias corrientes a Instituciones  Públicas Financieras </t>
  </si>
  <si>
    <t>6.01.07</t>
  </si>
  <si>
    <t>Dividendos</t>
  </si>
  <si>
    <t>Fondos en fideicomiso para gasto corriente</t>
  </si>
  <si>
    <t>6.01.09</t>
  </si>
  <si>
    <t>Impuestos por transferir</t>
  </si>
  <si>
    <t>1.09</t>
  </si>
  <si>
    <t>1.09.01</t>
  </si>
  <si>
    <t>Impuestos sobre ingresos y utilidades</t>
  </si>
  <si>
    <t>1.09.02</t>
  </si>
  <si>
    <t xml:space="preserve">Impuestos sobre la propiedad de  bienes inmuebles          </t>
  </si>
  <si>
    <t>1.09.03</t>
  </si>
  <si>
    <t>Impuestos de patentes</t>
  </si>
  <si>
    <t>1.3.2</t>
  </si>
  <si>
    <t>Transferencias corrientes al Sector Privado</t>
  </si>
  <si>
    <t>6.02</t>
  </si>
  <si>
    <t>6.02.01</t>
  </si>
  <si>
    <t>Becas a funcionarios</t>
  </si>
  <si>
    <t>6.02.03</t>
  </si>
  <si>
    <t xml:space="preserve">Ayudas a funcionarios </t>
  </si>
  <si>
    <t>6.03</t>
  </si>
  <si>
    <t xml:space="preserve">PRESTACIONES </t>
  </si>
  <si>
    <t>6.03.02</t>
  </si>
  <si>
    <t xml:space="preserve">Pensiones y jubilaciones contributivas </t>
  </si>
  <si>
    <t>6.03.03</t>
  </si>
  <si>
    <t xml:space="preserve">Pensiones no contributivas </t>
  </si>
  <si>
    <t>6.03.04</t>
  </si>
  <si>
    <t>Decimotercer mes de jubilaciones y pensiones</t>
  </si>
  <si>
    <t xml:space="preserve">Otras prestaciones </t>
  </si>
  <si>
    <t>6.04</t>
  </si>
  <si>
    <t xml:space="preserve">Transferencias corrientes a fundaciones          </t>
  </si>
  <si>
    <t>6.04.04</t>
  </si>
  <si>
    <t>Transferencias corrientes a otras entidades privadas sin fines de lucro</t>
  </si>
  <si>
    <t>6.05</t>
  </si>
  <si>
    <t>6.06</t>
  </si>
  <si>
    <t>OTRAS TRANSFERENCIAS CORRIENTES AL  SECTOR PRIVADO</t>
  </si>
  <si>
    <t>1.3.3</t>
  </si>
  <si>
    <t xml:space="preserve"> Transferencias corrientes al Sector Externo</t>
  </si>
  <si>
    <t>6.07.02</t>
  </si>
  <si>
    <t xml:space="preserve">Otras transferencias corrientes al sector externo </t>
  </si>
  <si>
    <t>2</t>
  </si>
  <si>
    <t>GASTOS DE CAPITAL</t>
  </si>
  <si>
    <t>BIENES DURADEROS</t>
  </si>
  <si>
    <t>2.1</t>
  </si>
  <si>
    <t>FORMACIÓN DE CAPITAL</t>
  </si>
  <si>
    <t>5.02</t>
  </si>
  <si>
    <t>CONSTRUCCIONES, ADICIONES Y MEJORAS</t>
  </si>
  <si>
    <t>2.1.1</t>
  </si>
  <si>
    <t>Edificaciones</t>
  </si>
  <si>
    <t>5.02.01</t>
  </si>
  <si>
    <t>Edificios</t>
  </si>
  <si>
    <t>2.1.2</t>
  </si>
  <si>
    <t>Vías de comunicación</t>
  </si>
  <si>
    <t>5.02.02</t>
  </si>
  <si>
    <t>Vías de comunicación terrestre</t>
  </si>
  <si>
    <t>5.02.03</t>
  </si>
  <si>
    <t>Vías férreas</t>
  </si>
  <si>
    <t>5.02.04</t>
  </si>
  <si>
    <t>Obras marítimas y fluviales</t>
  </si>
  <si>
    <t>5.02.05</t>
  </si>
  <si>
    <t>Aeropuertos</t>
  </si>
  <si>
    <t>2.1.3</t>
  </si>
  <si>
    <t>Obras urbanísticas</t>
  </si>
  <si>
    <t>5.02.06</t>
  </si>
  <si>
    <t>2.1.4</t>
  </si>
  <si>
    <t>Instalaciones</t>
  </si>
  <si>
    <t>5.02.07</t>
  </si>
  <si>
    <t>2.1.5</t>
  </si>
  <si>
    <t>Otras obras</t>
  </si>
  <si>
    <t>5.02.99</t>
  </si>
  <si>
    <t>Otras construcciones adiciones y mejoras</t>
  </si>
  <si>
    <t>2.2</t>
  </si>
  <si>
    <t>ADQUISICIÓN DE ACTIVOS</t>
  </si>
  <si>
    <t>2.2.1</t>
  </si>
  <si>
    <t xml:space="preserve">Maquinaria y equipo </t>
  </si>
  <si>
    <t>5.01</t>
  </si>
  <si>
    <t>5.01.01</t>
  </si>
  <si>
    <t>Maquinaria y equipo para la producción</t>
  </si>
  <si>
    <t>5.01.02</t>
  </si>
  <si>
    <t>Equipo de transporte</t>
  </si>
  <si>
    <t>5.01.03</t>
  </si>
  <si>
    <t>Equipo de comunicación</t>
  </si>
  <si>
    <t>Equipo de  cómputo</t>
  </si>
  <si>
    <t>5.01.07</t>
  </si>
  <si>
    <t>Equipo y mobiliario educacional, deportivo y recreativo</t>
  </si>
  <si>
    <t>Maquinaria, equipo y mobiliario  diverso</t>
  </si>
  <si>
    <t>5.99</t>
  </si>
  <si>
    <t>5.99.01</t>
  </si>
  <si>
    <t>Semovientes</t>
  </si>
  <si>
    <t>5.03</t>
  </si>
  <si>
    <t>BIENES PREEXISTENTES</t>
  </si>
  <si>
    <t>2.2.2</t>
  </si>
  <si>
    <t>Terrenos</t>
  </si>
  <si>
    <t>5.03.01</t>
  </si>
  <si>
    <t>2.2.3</t>
  </si>
  <si>
    <t>5.03.02</t>
  </si>
  <si>
    <t>Edificios preexistentes</t>
  </si>
  <si>
    <t>5.03.99</t>
  </si>
  <si>
    <t>Otras obras preexistentes</t>
  </si>
  <si>
    <t>2.2.4</t>
  </si>
  <si>
    <t>Intangibles</t>
  </si>
  <si>
    <t>2.2.5</t>
  </si>
  <si>
    <t>Activos de valor</t>
  </si>
  <si>
    <t>5.99.02</t>
  </si>
  <si>
    <t>Piezas y obras de colección</t>
  </si>
  <si>
    <t>5.99.99</t>
  </si>
  <si>
    <t>Otros bienes duraderos</t>
  </si>
  <si>
    <t>2.3</t>
  </si>
  <si>
    <t>TRANSFERENCIAS DE CAPITAL</t>
  </si>
  <si>
    <t>2.3.1</t>
  </si>
  <si>
    <t>Transferencias de capital  al Sector Público</t>
  </si>
  <si>
    <t>7.01</t>
  </si>
  <si>
    <t>TRANSFERENCIAS DE CAPITAL  AL SECTOR PÚBLICO</t>
  </si>
  <si>
    <t>7.01.01</t>
  </si>
  <si>
    <t>Transferencias  de capital al Gobierno Central</t>
  </si>
  <si>
    <t>7.01.02</t>
  </si>
  <si>
    <t>Transferencias de capital  a Órganos Desconcentrados</t>
  </si>
  <si>
    <t>7.01.03</t>
  </si>
  <si>
    <t>Transferencias de capital a Instituciones Descentralizadas no Empresariales</t>
  </si>
  <si>
    <t>7.01.04</t>
  </si>
  <si>
    <t>Transferencias de capital a Gobiernos Locales</t>
  </si>
  <si>
    <t>7.01.05</t>
  </si>
  <si>
    <t>Transferencias de capital a Empresas Públicas no Financieras</t>
  </si>
  <si>
    <t>7.01.06</t>
  </si>
  <si>
    <t>Transferencias de capital a Instituciones Públicas Financieras</t>
  </si>
  <si>
    <t>7.01.07</t>
  </si>
  <si>
    <t xml:space="preserve">Fondos en fideicomiso para gasto de capital </t>
  </si>
  <si>
    <t>2.3.2</t>
  </si>
  <si>
    <t>Transferencias de capital al Sector Privado</t>
  </si>
  <si>
    <t>7.02</t>
  </si>
  <si>
    <t>TRANSFERENCIAS DE CAPITAL  A PERSONAS</t>
  </si>
  <si>
    <t>7.02.01</t>
  </si>
  <si>
    <t>Transferencias de capital a personas</t>
  </si>
  <si>
    <t>7.03</t>
  </si>
  <si>
    <t>TRANSFERENCIAS DE CAPITAL  A ENTIDADES PRIVADAS SIN FINES DE LUCRO</t>
  </si>
  <si>
    <t>7.03.01</t>
  </si>
  <si>
    <t>Transferencias de capital a asociaciones</t>
  </si>
  <si>
    <t>7.03.02</t>
  </si>
  <si>
    <t xml:space="preserve">Transferencias de capital a fundaciones   </t>
  </si>
  <si>
    <t>7.03.03</t>
  </si>
  <si>
    <t>Transferencias de capital a cooperativas</t>
  </si>
  <si>
    <t>7.03.99</t>
  </si>
  <si>
    <t>Transferencias de capital a otras entidades privadas sin fines de lucro</t>
  </si>
  <si>
    <t>7.04</t>
  </si>
  <si>
    <t>TRANSFERENCIAS DE CAPITAL  A EMPRESAS PRIVADAS</t>
  </si>
  <si>
    <t>7.04.01</t>
  </si>
  <si>
    <t>Transferencias de capital a empresas privadas</t>
  </si>
  <si>
    <t>2.3.3</t>
  </si>
  <si>
    <t>Transferencias de capital al Sector Externo</t>
  </si>
  <si>
    <t>7.05</t>
  </si>
  <si>
    <t>TRANSFERENCIAS DE CAPITAL  AL SECTOR EXTERNO</t>
  </si>
  <si>
    <t>7.05.01</t>
  </si>
  <si>
    <r>
      <t xml:space="preserve">Transferencias de capital  a </t>
    </r>
    <r>
      <rPr>
        <sz val="8"/>
        <color indexed="10"/>
        <rFont val="Arial"/>
        <family val="2"/>
      </rPr>
      <t>O</t>
    </r>
    <r>
      <rPr>
        <sz val="8"/>
        <rFont val="Arial"/>
        <family val="2"/>
      </rPr>
      <t xml:space="preserve">rganismos </t>
    </r>
    <r>
      <rPr>
        <sz val="8"/>
        <color indexed="10"/>
        <rFont val="Arial"/>
        <family val="2"/>
      </rPr>
      <t>I</t>
    </r>
    <r>
      <rPr>
        <sz val="8"/>
        <rFont val="Arial"/>
        <family val="2"/>
      </rPr>
      <t>nternacionales</t>
    </r>
  </si>
  <si>
    <t>7.05.02</t>
  </si>
  <si>
    <t>Otras transferencias de capital al sector externo</t>
  </si>
  <si>
    <t>TRANSACCIONES FINANCIERAS</t>
  </si>
  <si>
    <t>ACTIVOS FINANCIEROS</t>
  </si>
  <si>
    <t>3.1</t>
  </si>
  <si>
    <t>CONCESIÓN DE PRÉSTAMOS</t>
  </si>
  <si>
    <t>4.01</t>
  </si>
  <si>
    <t>PRÉSTAMOS</t>
  </si>
  <si>
    <t>4.01.01</t>
  </si>
  <si>
    <t>Préstamos al Gobierno Central</t>
  </si>
  <si>
    <t>4.01.02</t>
  </si>
  <si>
    <t>Préstamos a Órganos Desconcentrados</t>
  </si>
  <si>
    <t>4.01.03</t>
  </si>
  <si>
    <t>Préstamos a Instituciones Descentralizadas no  Empresariales</t>
  </si>
  <si>
    <t>4.01.04</t>
  </si>
  <si>
    <t>Préstamos a Gobiernos Locales</t>
  </si>
  <si>
    <t>4.01.05</t>
  </si>
  <si>
    <t>Préstamos a Empresas Públicas no Financieras</t>
  </si>
  <si>
    <t>4.01.06</t>
  </si>
  <si>
    <t>Préstamos a Instituciones Públicas Financieras</t>
  </si>
  <si>
    <t>4.01.07</t>
  </si>
  <si>
    <t>Préstamos al Sector Privado</t>
  </si>
  <si>
    <t>4.01.08</t>
  </si>
  <si>
    <t>Préstamos al  Sector Externo</t>
  </si>
  <si>
    <t>3.2</t>
  </si>
  <si>
    <t>ADQUISICIÓN DE VALORES</t>
  </si>
  <si>
    <t>4.02</t>
  </si>
  <si>
    <t>4.02.01</t>
  </si>
  <si>
    <t>Adquisición de valores del Gobierno Central</t>
  </si>
  <si>
    <t>4.02.02</t>
  </si>
  <si>
    <t>Adquisición de valores de Órganos Desconcentrados</t>
  </si>
  <si>
    <t>4.02.03</t>
  </si>
  <si>
    <t>Adquisición de valores de Instituciones Descentralizadas no Empresariales</t>
  </si>
  <si>
    <t>4.02.04</t>
  </si>
  <si>
    <t>Adquisición de valores de Gobiernos Locales</t>
  </si>
  <si>
    <t>4.02.05</t>
  </si>
  <si>
    <t>Adquisición de valores de Empresas Públicas no Financieras</t>
  </si>
  <si>
    <t>4.02.06</t>
  </si>
  <si>
    <t xml:space="preserve">Adquisición de valores de Instituciones Públicas  Financieras </t>
  </si>
  <si>
    <t>4.02.07</t>
  </si>
  <si>
    <t>Adquisición de valores del Sector Privado</t>
  </si>
  <si>
    <t>4.02.08</t>
  </si>
  <si>
    <t>Adquisición de valores del Sector Externo</t>
  </si>
  <si>
    <t>3.3</t>
  </si>
  <si>
    <t>AMORTIZACIÓN</t>
  </si>
  <si>
    <t xml:space="preserve">AMORTIZACION </t>
  </si>
  <si>
    <t>3.3.1</t>
  </si>
  <si>
    <t>Amortización interna</t>
  </si>
  <si>
    <t>8.01</t>
  </si>
  <si>
    <t>AMORTIZACIÓN DE TÍTULOS VALORES</t>
  </si>
  <si>
    <t>8.01.01</t>
  </si>
  <si>
    <t>Amortización de títulos valores internos de corto plazo</t>
  </si>
  <si>
    <t>8.01.02</t>
  </si>
  <si>
    <t>Amortización de títulos valores internos de largo plazo</t>
  </si>
  <si>
    <t>8.02</t>
  </si>
  <si>
    <t>AMORTIZACIÓN DE PRÉSTAMOS</t>
  </si>
  <si>
    <t>8.02.01</t>
  </si>
  <si>
    <t>Amortización de préstamos del  Gobierno Central</t>
  </si>
  <si>
    <t>8.02.02</t>
  </si>
  <si>
    <t>Amortización de préstamos de Órganos Desconcentrados</t>
  </si>
  <si>
    <t>8.02.03</t>
  </si>
  <si>
    <t>Amortización de préstamos de Instituciones Descentralizadas no Empresariales</t>
  </si>
  <si>
    <t>8.02.04</t>
  </si>
  <si>
    <t>Amortización de préstamos de  Gobiernos Locales</t>
  </si>
  <si>
    <t>8.02.05</t>
  </si>
  <si>
    <t>Amortización de préstamos de Empresas Públicas no Financieras</t>
  </si>
  <si>
    <t>8.02.06</t>
  </si>
  <si>
    <t xml:space="preserve">Amortización de préstamos de Instituciones Públicas Financieras </t>
  </si>
  <si>
    <t>8.02.07</t>
  </si>
  <si>
    <t>Amortización de préstamos del Sector Privado</t>
  </si>
  <si>
    <t>8.03</t>
  </si>
  <si>
    <t>AMORTIZACIÓN DE OTRAS OBLIGACIONES</t>
  </si>
  <si>
    <t>8.03.01</t>
  </si>
  <si>
    <t>Amortización de otras obligaciones</t>
  </si>
  <si>
    <t>3.3.2</t>
  </si>
  <si>
    <t>Amortización externa</t>
  </si>
  <si>
    <t>8.01.03</t>
  </si>
  <si>
    <t>Amortización de títulos valores del sector externo de corto plazo</t>
  </si>
  <si>
    <t>8.01.04</t>
  </si>
  <si>
    <t>Amortización de títulos valores del sector externo de largo plazo</t>
  </si>
  <si>
    <t>8.02.08</t>
  </si>
  <si>
    <t>Amortización de préstamos de Sector Externo</t>
  </si>
  <si>
    <t>3.4</t>
  </si>
  <si>
    <t>OTROS ACTIVOS FINANCIEROS</t>
  </si>
  <si>
    <t>4.99</t>
  </si>
  <si>
    <t>4.99.01</t>
  </si>
  <si>
    <t>Aportes de Capital a Empresas</t>
  </si>
  <si>
    <t>4.99.99</t>
  </si>
  <si>
    <t>Otros activos financieros</t>
  </si>
  <si>
    <t>SUMAS SIN ASIGNACIÓN</t>
  </si>
  <si>
    <t>9.02</t>
  </si>
  <si>
    <t>SUMAS SIN ASIGNACIÓN PRESUPUESTARIA</t>
  </si>
  <si>
    <t>9.02.01</t>
  </si>
  <si>
    <t>Sumas libres sin asignación presupuestaria</t>
  </si>
  <si>
    <t>9.02.02</t>
  </si>
  <si>
    <t>Sumas con destino específico sin asignación presupuestaria</t>
  </si>
  <si>
    <t xml:space="preserve">PRESUPUESTO TOTAL </t>
  </si>
  <si>
    <t xml:space="preserve">                                                             </t>
  </si>
  <si>
    <t xml:space="preserve">
</t>
  </si>
  <si>
    <t>Traslado de recursos provenientes del MICITT para el Fideicomiso 25-02 Fondo Propyme, Ley 8262.</t>
  </si>
  <si>
    <t>926 Superavit específicoLey 9028 Tabaco</t>
  </si>
  <si>
    <t>921 Superavit específico Ley 7169 Fondo de Incentivos</t>
  </si>
  <si>
    <t>1 SERVICIOS</t>
  </si>
  <si>
    <t>9 CUENTAS ESPECIALES</t>
  </si>
  <si>
    <t>Programa 2 Gestión Administrativa</t>
  </si>
  <si>
    <t>Partida presupuestaria y fuente de financiamiento</t>
  </si>
  <si>
    <t>Presupuesto total</t>
  </si>
  <si>
    <t>TABLA DE EQUIVALENCIAS</t>
  </si>
  <si>
    <t>en millones de colones</t>
  </si>
  <si>
    <t xml:space="preserve">1.3.9.1.00.00.0.0.000 </t>
  </si>
  <si>
    <t>Reintegros y Devoluciones </t>
  </si>
  <si>
    <t>1.3.9.2.00.00.0.0.000</t>
  </si>
  <si>
    <t>Ejecución de contratos de seguro</t>
  </si>
  <si>
    <t xml:space="preserve">SUPERÁVIT LIBRE, LEY 5048 </t>
  </si>
  <si>
    <t>SUPERÁVIT ESPECÍFICO</t>
  </si>
  <si>
    <t xml:space="preserve">CÓDIGO </t>
  </si>
  <si>
    <t>PARTIDA Y SUBPARTIDA DE INGRESOS</t>
  </si>
  <si>
    <t xml:space="preserve">1.3.2.3.03.01.0.0.000 </t>
  </si>
  <si>
    <t>1.3.2.0.00.00.0.0.000</t>
  </si>
  <si>
    <t>INGRESOS DE LA PROPIEDAD</t>
  </si>
  <si>
    <t>Intereses sobre cuentas corrientes y otros depósitos en bancos públicos</t>
  </si>
  <si>
    <t>Programa 1 Promoción de la Ciencia, Tecnología e Innovación</t>
  </si>
  <si>
    <t>0 REMUNERACION</t>
  </si>
  <si>
    <t xml:space="preserve"> 5 BIENES DURADEROS</t>
  </si>
  <si>
    <t>2 MATERIALES Y SUMINISTROS</t>
  </si>
  <si>
    <t>Caja Única Ley 5048, Conicit INS</t>
  </si>
  <si>
    <t>DETALLE</t>
  </si>
  <si>
    <t>% EJECUCIÓN</t>
  </si>
  <si>
    <t>001 Transferencias corrientes Ley 5048 CONICIT, INS</t>
  </si>
  <si>
    <t xml:space="preserve">Monto total ejecutado </t>
  </si>
  <si>
    <t>001 TRANSFERENCIAS CORRIENTES 3% Propyme</t>
  </si>
  <si>
    <t>001 TRANSFERENCIAS CORRIENTES Ley 5048 CONICIT</t>
  </si>
  <si>
    <t>001 TRANSFERENCIAS CORRIENTES Ley 7169 Fondo de Incentivos</t>
  </si>
  <si>
    <t>001 TRANSFERENCIAS CORRIENTES Ley 8262 Propyme</t>
  </si>
  <si>
    <t>001 TRANSFERENCIAS CORRIENTES Ley 9028 Tabaco</t>
  </si>
  <si>
    <r>
      <rPr>
        <b/>
        <sz val="11"/>
        <color theme="1"/>
        <rFont val="Arial"/>
        <family val="2"/>
      </rPr>
      <t xml:space="preserve">Nota: </t>
    </r>
    <r>
      <rPr>
        <sz val="11"/>
        <color theme="1"/>
        <rFont val="Arial"/>
        <family val="2"/>
      </rPr>
      <t xml:space="preserve">El porcentaje de la línea de ingresos no tributarios y recursos de vigencias anteriores se calcula en función del monto presupuestado ya que con el ingreso real se supera el 100%. </t>
    </r>
  </si>
  <si>
    <t>MONTO APROBADO</t>
  </si>
  <si>
    <t xml:space="preserve">Detalle de Transferencias </t>
  </si>
  <si>
    <t>Subpartida</t>
  </si>
  <si>
    <t>Entidad</t>
  </si>
  <si>
    <t>Monto Transferido</t>
  </si>
  <si>
    <t>Finalidad</t>
  </si>
  <si>
    <t>Desarrollo de proyectos de investigación con recursos del Fondo de Incentivos, Ley 7169.</t>
  </si>
  <si>
    <t>Pago incapacidades</t>
  </si>
  <si>
    <t>BCR Intereses pagados por facturas de periodos anteriores</t>
  </si>
  <si>
    <t>BCR ingreso que no corresponde al Fondo de Incentivos</t>
  </si>
  <si>
    <t>Fondo</t>
  </si>
  <si>
    <t>Monto ejecutado</t>
  </si>
  <si>
    <t xml:space="preserve">Compromisos </t>
  </si>
  <si>
    <t xml:space="preserve">Reservas </t>
  </si>
  <si>
    <t>FUENTE DE FINANCIAMIENTO</t>
  </si>
  <si>
    <r>
      <rPr>
        <b/>
        <sz val="11"/>
        <color theme="1"/>
        <rFont val="Arial"/>
        <family val="2"/>
      </rPr>
      <t>1/ E</t>
    </r>
    <r>
      <rPr>
        <sz val="11"/>
        <color theme="1"/>
        <rFont val="Arial"/>
        <family val="2"/>
      </rPr>
      <t>l porcentaje de ejecución corresponde al resultado de los gastos ejecutados entre el presupuesto total</t>
    </r>
  </si>
  <si>
    <t>INGRESOS RECIBIDOS</t>
  </si>
  <si>
    <t>ENERO</t>
  </si>
  <si>
    <t>FEBRERO</t>
  </si>
  <si>
    <t>MARZO</t>
  </si>
  <si>
    <t>INGRESO TOTAL RECIBIDO I TRIMESTRE</t>
  </si>
  <si>
    <t>TOTAL I TRIMESTRE</t>
  </si>
  <si>
    <t>% DE EJECUCIÓN</t>
  </si>
  <si>
    <t>PRESUPUESTO TOTAL</t>
  </si>
  <si>
    <t xml:space="preserve">Universidad de Costa Rica </t>
  </si>
  <si>
    <t>Instituto Tecnológico de Costa Rica</t>
  </si>
  <si>
    <t>Funcionarios</t>
  </si>
  <si>
    <t>6.01.02 Transferencias Corrientes A Órganos Desconcentrados</t>
  </si>
  <si>
    <t>Comisión Nacional de Prevención de Riesgos y Atención de Emergencias (CNE)</t>
  </si>
  <si>
    <t>Tributo en cumplimiento al Artículo 46 de la Ley 8488 correspondiente al pago del 3% del superávit libre.</t>
  </si>
  <si>
    <t xml:space="preserve"> I Trimestre, 2021</t>
  </si>
  <si>
    <t>CONCILIACIÓN MOVIMIENTOS DE CAJA VS PRESUPUESTO</t>
  </si>
  <si>
    <t>Banco</t>
  </si>
  <si>
    <t>Cuenta bancaria</t>
  </si>
  <si>
    <t xml:space="preserve">Saldo colones </t>
  </si>
  <si>
    <t>BCR  Ley 7169</t>
  </si>
  <si>
    <t>001-0457693-4</t>
  </si>
  <si>
    <t>Caja Única Ley 5048</t>
  </si>
  <si>
    <t xml:space="preserve">  73900011305001015</t>
  </si>
  <si>
    <t>Caja Única  Ley 7169</t>
  </si>
  <si>
    <t xml:space="preserve">  73911121800043955</t>
  </si>
  <si>
    <t>Caja Única  Ley 9028</t>
  </si>
  <si>
    <t>73911121800046853</t>
  </si>
  <si>
    <t>Caja Única Ley 8262</t>
  </si>
  <si>
    <t>73911121800048272</t>
  </si>
  <si>
    <t>Total cuentas bancarias</t>
  </si>
  <si>
    <t>PRESUPUESTO</t>
  </si>
  <si>
    <t>Saldo colones</t>
  </si>
  <si>
    <t>Ingresos reales</t>
  </si>
  <si>
    <t>Egresos reales</t>
  </si>
  <si>
    <t>Diferencia del período</t>
  </si>
  <si>
    <t>Diferencia Bancos - Presupuesto</t>
  </si>
  <si>
    <t>Menos:</t>
  </si>
  <si>
    <t>Total Renta y devoluciones CCSS</t>
  </si>
  <si>
    <t>Diferencia real</t>
  </si>
  <si>
    <t>Diferencia en la liquidación 2019</t>
  </si>
  <si>
    <t>Total entre el real menos liquidación 2019</t>
  </si>
  <si>
    <t>Diferencia final</t>
  </si>
  <si>
    <t>ABRIL</t>
  </si>
  <si>
    <t>JUNIO</t>
  </si>
  <si>
    <t>MAYO</t>
  </si>
  <si>
    <t>INGRESO TOTAL RECIBIDO II TRIMESTRE</t>
  </si>
  <si>
    <t xml:space="preserve"> TOTAL DE INGRESOS RECIBIDOS</t>
  </si>
  <si>
    <t xml:space="preserve">Nota: El porcentaje de ejecuión de Ingresos No Tributarios y de Ingresos por Financiamiento se calculan en función del monto presupuestado ya que con el ingreso real se supera el 100%. </t>
  </si>
  <si>
    <t>TOTAL II TRIMESTRE</t>
  </si>
  <si>
    <t>TOTAL EJECUTADO ACUMULADO</t>
  </si>
  <si>
    <t>Transferencias Corrientes Fondo de Incentivos</t>
  </si>
  <si>
    <t>Superávit Fondo de Incentivos</t>
  </si>
  <si>
    <t>Transferencias Corrientes Fondo Tabaco</t>
  </si>
  <si>
    <t>Superávit Fondo Tabaco</t>
  </si>
  <si>
    <t>Total Fondo de Incentivos</t>
  </si>
  <si>
    <t>Total Fondo Tabaco</t>
  </si>
  <si>
    <t>Consejo Nacional para Investigaciones Científicas y Tecnológicas</t>
  </si>
  <si>
    <t>Formulación MAPP: Requerimientos de recursos para las actividades programadas</t>
  </si>
  <si>
    <t>Versión:</t>
  </si>
  <si>
    <t>Partida</t>
  </si>
  <si>
    <t>Grupo</t>
  </si>
  <si>
    <t>Escenario 5: Monto ajustado aprobado por la CGR</t>
  </si>
  <si>
    <t>Modificación 01-2021</t>
  </si>
  <si>
    <t>MN01-2021</t>
  </si>
  <si>
    <t>MN02-2022</t>
  </si>
  <si>
    <t>Modificación 02-2021</t>
  </si>
  <si>
    <t>Modificación 03-2021</t>
  </si>
  <si>
    <t>PE-01-2021</t>
  </si>
  <si>
    <t>MN03-20221</t>
  </si>
  <si>
    <t>Resevas</t>
  </si>
  <si>
    <t>Ejecutado</t>
  </si>
  <si>
    <t>Fuente de Ingresos</t>
  </si>
  <si>
    <t>Programa presupuestario</t>
  </si>
  <si>
    <t>Centro costos</t>
  </si>
  <si>
    <t>Código Meta Sistema Administrativo</t>
  </si>
  <si>
    <t>Nombre Meta Sistema Administrativo</t>
  </si>
  <si>
    <t>Código Meta Planificación</t>
  </si>
  <si>
    <t>Meta Planificación final</t>
  </si>
  <si>
    <t>Justificación detallada de la solicitud de presupuesto, en la medida de lo posible indique los parámetros utilizados para la estimación.2</t>
  </si>
  <si>
    <t>Observaciones escenarios</t>
  </si>
  <si>
    <t>_0_REMUNERACION</t>
  </si>
  <si>
    <t>0.01 REMUNERACIONES BÁSICAS</t>
  </si>
  <si>
    <t>0.01.01 Sueldos para cargos fijos</t>
  </si>
  <si>
    <t>1 Promoción de la Ciencia, Tecnología e Innovación</t>
  </si>
  <si>
    <t>01-02 Dirección de Promoción de Ciencia, Tecnología e Innovación</t>
  </si>
  <si>
    <t>DP0101</t>
  </si>
  <si>
    <t>Ejecutar 90% PRESU-planilla TC-5048 DP</t>
  </si>
  <si>
    <t>Ejecutar 90% de la planilla de la Dirección de Promoción</t>
  </si>
  <si>
    <t>Corresponde a salarios para el año 2021. No se considera costo de vida para el año 2021.  Se considera costo de vida del 2020, según lo indicado en oficio DGPN-0233-2020.  Programa 1</t>
  </si>
  <si>
    <t>2 Gestión Administrativa</t>
  </si>
  <si>
    <t>02-06 Dirección de Soporte Administrativo</t>
  </si>
  <si>
    <t>DSA0101</t>
  </si>
  <si>
    <t>Ejecutar 90% PRESU-planilla TC-5048 DSA</t>
  </si>
  <si>
    <t>SA0101</t>
  </si>
  <si>
    <t>Ejecutar 90% de la planilla de Gestion Administrativa</t>
  </si>
  <si>
    <t>Corresponde a salarios para el año 2021. No se considera costo de vida para el año 2021.  Se considera costo de vida del 2020, según lo indicado en oficio DGPN-0233-2020. Programa 2</t>
  </si>
  <si>
    <t>0.02.01 Tiempo extraordinario</t>
  </si>
  <si>
    <t>Tiempo extraordinario: cuentas del BNCR, NICSP y reclamos administrativos</t>
  </si>
  <si>
    <t>0.01.05 Suplencias</t>
  </si>
  <si>
    <t>Para contratación de personal sustituto para suplir a colaboradores en el eventual caso de que se presenten incapacidades por COVID-19, incapacidad por enfermedad, licencias, vacaciones prolongadas y otros.</t>
  </si>
  <si>
    <t>0.02 REMUNERACIONES EVENTUALES</t>
  </si>
  <si>
    <t>0.02.05 Dietas</t>
  </si>
  <si>
    <t>02-02 Secretaría Ejecutiva</t>
  </si>
  <si>
    <t>SE0101</t>
  </si>
  <si>
    <t>Ejecutar 90% PRESU TC 5048 SE</t>
  </si>
  <si>
    <t>Ejecutar el 90% del Plan de Trabajo de la Secretaría Ejecutiva.</t>
  </si>
  <si>
    <t>Pago de dieta a los señores miembros del Consejo Directo, se contemplo ese monto asumiendo que normalmente se realizan 44 sesiones al año</t>
  </si>
  <si>
    <t>En E2 tomando como base el reporte de presupuesto al 26/06 se ha consumido en los primeros 5 meses del año ¢2.984.488,60 redondeado a 3 Mill entre 5 meses equivale a ¢600.000 por mes por 12 meses= ¢7.200.000</t>
  </si>
  <si>
    <t>0.03 INCENTIVOS SALARIALES</t>
  </si>
  <si>
    <t>0.03.01 Retribución por años servidos</t>
  </si>
  <si>
    <t>Corresponde al pago de anualidades pr años servidos. Programa 1</t>
  </si>
  <si>
    <t>Corresponde al pago de anualidades pr años servidos. Programa 2</t>
  </si>
  <si>
    <t>0.03.02 Restricción al ejercicio liberal de la profesión</t>
  </si>
  <si>
    <t>Corresponde al pago de Dedicación Exclusiva o Prohibición. Es un porcentaje del salario base.  Programa 1</t>
  </si>
  <si>
    <t>Corresponde al pago de Dedicación Exclusiva o Prohibición. Es un porcentaje del salario base.  Programa 2</t>
  </si>
  <si>
    <t>0.03.03 Decimotercer mes</t>
  </si>
  <si>
    <t>Corresponde al pago de aguinaldo anual.  Corresponde al 8,33333 del salario devengado. Porgrama 1</t>
  </si>
  <si>
    <t>Corresponde al pago de aguinaldo anual.  Corresponde al 8,33333 del salario devengado. Porgrama 2</t>
  </si>
  <si>
    <t>0.03.04 Salario escolar</t>
  </si>
  <si>
    <t>Corresponde al pago del salario escolar.  Corresponde al 8.33% del salario devengado.  Programa 1</t>
  </si>
  <si>
    <t>Corresponde al pago del salario escolar.  Corresponde al 8.33% del salario devengado.  Programa 2</t>
  </si>
  <si>
    <t>0.03.99 Otros incentivos salariales</t>
  </si>
  <si>
    <t>Corresonde al pago de Carrera Profesional.  El valor del punto es de ¢2.273,00.  Porgrama 1</t>
  </si>
  <si>
    <t>Corresonde al pago de Carrera Profesional.  El valor del punto es de ¢2.273,00.  Porgrama 2</t>
  </si>
  <si>
    <t>0.04 CONTRIBUCIONES PATRONALES AL DESARROLLO Y LA
SEGURIDAD SOCIAL</t>
  </si>
  <si>
    <t>0.04.01 Contribución Patronal al Seguro de Salud de la Caja</t>
  </si>
  <si>
    <t>Corresponde al 9.25% de los salarios devengados.  Programa 1</t>
  </si>
  <si>
    <t>Corresponde al 9.25% de los salarios devengados.  Programa 2</t>
  </si>
  <si>
    <t>0.04.03 Contribución Patronal al Instituto Nacional de Aprendizaje</t>
  </si>
  <si>
    <t>Corresponde al 1,50% de los salarios devengados.  Programa 1</t>
  </si>
  <si>
    <t>Corresponde al 1,50% de los salarios devengados.  Programa 2</t>
  </si>
  <si>
    <t>0.04.04 Contribución Patronal al Fondo de Desarrollo Social y</t>
  </si>
  <si>
    <t>Corresponde al 5,0% de los salarios devengados.  Programa 1</t>
  </si>
  <si>
    <t>Corresponde al 5,0% de los salarios devengados.  Programa 2</t>
  </si>
  <si>
    <t>0.04.05 Contribución Patronal al Banco Popular y de Desarrollo</t>
  </si>
  <si>
    <t>Corresponde al 0,25% de los salarios devengados.  Programa 1</t>
  </si>
  <si>
    <t>Corresponde al 0,25% de los salarios devengados.  Programa 2</t>
  </si>
  <si>
    <t>0.05 CONTRIBUCIONES PATRONALES A FONDOS DE PENSIONES Y
OTROS FONDOS DE CAPITALIZACIÓN</t>
  </si>
  <si>
    <t>0.05.01 Contribución Patronal al Seguro de Pensiones de la Caja</t>
  </si>
  <si>
    <t>Corresponde al 5.25% de los salarios devengados. Programa 1</t>
  </si>
  <si>
    <t>Corresponde al 5.25% de los salarios devengados. Programa 2</t>
  </si>
  <si>
    <t>0.05.02 Aporte Patronal al Régimen Obligatorio de Pensiones</t>
  </si>
  <si>
    <t>Corresponde al 0,50% de los salarios devengados. Programa 1</t>
  </si>
  <si>
    <t>Corresponde al 0,50% de los salarios devengados. Programa 2</t>
  </si>
  <si>
    <t>0.05.03 Aporte Patronal al Fondo de Capitalización Laboral</t>
  </si>
  <si>
    <t>Corresponde al 1,0% de los salarios devengados. Programa 1</t>
  </si>
  <si>
    <t>Corresponde al 1,0% de los salarios devengados. Programa 2</t>
  </si>
  <si>
    <t>0.05.05 Contribución Patronal a fondos administrados por entes</t>
  </si>
  <si>
    <t>Corresponde al 5.33% del Aporte Patronal a la Asociación Solidarista. Programa 1</t>
  </si>
  <si>
    <t>Corresponde al 5.33% del Aporte Patronal a la Asociación Solidarista. Programa 2</t>
  </si>
  <si>
    <t>_1_SERVICIOS</t>
  </si>
  <si>
    <t>1.01 ALQUILERES</t>
  </si>
  <si>
    <t>1.01.99 Otros alquileres</t>
  </si>
  <si>
    <t>02-10- Unidad de Tecnologías de Información y Comunicación</t>
  </si>
  <si>
    <t>TC0101</t>
  </si>
  <si>
    <t>Ejecutar 90% PRESU TC 5048 TIC</t>
  </si>
  <si>
    <t>Ejecutar el 90% del Plan de Trabajo de la Unidad de TIC</t>
  </si>
  <si>
    <t>Para pago del contrato de medios magnéticos que se tiene con el Banco Nacional para el resguardo de discos externos de respaldo.
Para almacenamiento 1 TB de informacion de trabajo de los usuarios y carpetas compartidas de cada una de las áreas de trabajo, así como de las Bases de datos que se utilizan en los sistemas como apoyo al teletrabajo</t>
  </si>
  <si>
    <t>1.02 SERVICIOS BÁSICOS</t>
  </si>
  <si>
    <t>1.02.01 Servicio de agua y alcantarillado</t>
  </si>
  <si>
    <t>02-09 Unidad Recursos Materiales y Servicios</t>
  </si>
  <si>
    <t>RM0101</t>
  </si>
  <si>
    <t>Ejecutar 90% PRESU TC 5048 RMS</t>
  </si>
  <si>
    <t>Ejecutar el 90% del Plan de Trabajo de la Unidad de Recursos Materiales y Servicios</t>
  </si>
  <si>
    <t>Pago  del servicio de agua y alcantarillado, el costo se estima de acuerdo al promedio de lo cancelado en el año 2019-2020</t>
  </si>
  <si>
    <t>1.02.02 Servicio de energía eléctrica</t>
  </si>
  <si>
    <t>Pago del servicio de energía eléctrica el costo se estima de acuerdo al promedio de lo cancelado en el año 2019-2020</t>
  </si>
  <si>
    <t>1.02.03 Servicio de correo</t>
  </si>
  <si>
    <t>Pago del servicio anual de apartado postal 599-2200, Coronado, San José.</t>
  </si>
  <si>
    <t>1.02.04 Servicio de telecomunicaciones</t>
  </si>
  <si>
    <t>Pago del servicio de telecomunicaciones (central telefónica, 2 líneas fijas, 2 datacard, 2 líneas celular e internet simétrico)</t>
  </si>
  <si>
    <t>Pago internet simétrico</t>
  </si>
  <si>
    <t>1.02.99 Otros servicios básicos</t>
  </si>
  <si>
    <t xml:space="preserve">Pago de impuestos municipales </t>
  </si>
  <si>
    <t>1.03 SERVICIOS COMERCIALES Y FINANCIEROS</t>
  </si>
  <si>
    <t>1.03.01 Información</t>
  </si>
  <si>
    <t>Para publicación en el Diario Oficial La Gaceta de Reglamentos, Leyes y otros documentos que por normativa deben de publicarse para conocimiento de terceros tal como el proyecto de Ley N°21660 así como otras publicaciones que surjan</t>
  </si>
  <si>
    <t>02-07 Unidad de Finanzas</t>
  </si>
  <si>
    <t>FI0103</t>
  </si>
  <si>
    <t>Ejecutar 90% PRESU TC 5048 FI</t>
  </si>
  <si>
    <t>FI0101</t>
  </si>
  <si>
    <t>Ejecutar el 90% del Plan de Trabajo de la Unidad de Finanzas</t>
  </si>
  <si>
    <t>Para publicación en el Diario Oficial La Gaceta de Reglamentos, Leyes y otros documentos que por normativa deben de publicarse para conocimiento de terceros tal como el Reglamento de Caja Chica así como otras publicaciones que surjan</t>
  </si>
  <si>
    <t>1.03.03 Impresión, encuadernación y otros</t>
  </si>
  <si>
    <r>
      <t xml:space="preserve">Empastes de libros legales (Inventario y balances, Libro mayor y libro de diario), 16 empastes comprobantes de diario año </t>
    </r>
    <r>
      <rPr>
        <sz val="10"/>
        <color rgb="FFFF0000"/>
        <rFont val="Franklin Gothic Book"/>
        <family val="2"/>
      </rPr>
      <t xml:space="preserve">2012-2019. </t>
    </r>
    <r>
      <rPr>
        <sz val="10"/>
        <rFont val="Franklin Gothic Book"/>
        <family val="2"/>
      </rPr>
      <t xml:space="preserve">La base de cálculo: El costo se establece mediante una cotización de octubre del año 2018, por un costo unitario de ¢6.500 cada empaste, se le aplica un aumento del 5% de inflación anualizada. Los empastes son importantes realizarlos para cumplir con la normas de control interno "Normas sobre sistemas de información", en las variables 5.4 "Gestión Documental", 5.5. "Archivo Institucional".  </t>
    </r>
  </si>
  <si>
    <t>En E2 disminuye ya que para el 2020 hay una contratación en trámite</t>
  </si>
  <si>
    <t>Las actas y anexos de actas del Consejo Director deben estar empastadas, de acuerdo a la normativa vigente.</t>
  </si>
  <si>
    <t>1.03.06 Comisiones y gastos por servicios financieros y comerciales</t>
  </si>
  <si>
    <t>Pago por la utilización del SICOP</t>
  </si>
  <si>
    <t>01-05 Unidad de Vinculación y Asesoría</t>
  </si>
  <si>
    <t>VA0101</t>
  </si>
  <si>
    <t>Ejecutar 90% PRESU TC 5048 VA</t>
  </si>
  <si>
    <t>Ejecutar el 90% del Plan de Trabajo de la Unidad de Vinculación y Asesoría</t>
  </si>
  <si>
    <t>Comisión transferencia bancaria pago Interciencia</t>
  </si>
  <si>
    <t>1.03.07 Servicios de transferencia electrónica de información</t>
  </si>
  <si>
    <t>Para renovación de 19 certificados digitales para el 2021, según inventario de certificados digitales registrados al 2019</t>
  </si>
  <si>
    <t>1.04 SERVICIOS DE GESTIÓN Y APOYO</t>
  </si>
  <si>
    <t>1.04.01 Servicios médicos y de laboratorio</t>
  </si>
  <si>
    <t>DH0101</t>
  </si>
  <si>
    <t>Ejecutar 90% PRESU TC 5048 GDH</t>
  </si>
  <si>
    <t>Médico de Empresa</t>
  </si>
  <si>
    <t>1.04.03 Servicios de ingeniería</t>
  </si>
  <si>
    <t>Contratación de peritaje para 3 vehiculo de la institución en cumplimiento con la NICSP 17.</t>
  </si>
  <si>
    <t>1.04.04 Servicios en ciencias económicas y sociales</t>
  </si>
  <si>
    <t>Contratación de una Auditoría Externa de los EEFF del período 2018 al 2020, en cumplimiento con lo indicado en en la Directriz N°DCN-0001-2020 del 14/01/2020 emitido por la CN.</t>
  </si>
  <si>
    <t>Contratación de Sevicio de Consultoría para realizar estudio de cargas de trabajo solicitado por la Licda. Gabriela Díaz, DSA, en demanda judicial expediente N° TE: 20-000590-1550-LA-7, proceso: OR.S.PUB. Empleo Público.</t>
  </si>
  <si>
    <t>1.04.06 Servicios generales</t>
  </si>
  <si>
    <t xml:space="preserve">Pago por los servicios de seguridad y vigilancia, el costo se basa al de acuerdo al monto mensual contratado, mas un estimado del reajuste  de precios mensual.
Pago por el servicio de limpieza, el costo se basa al de acuerdo al monto mensual contratado, mas un estimado del reajuste de precios mensual.
Reajustes de precios presentados en el 2020 por la empresa SEVIN y DEQUISA y los que se presenten en el 2021.
</t>
  </si>
  <si>
    <t>02-08 Unidad Gestión del Desarrollo Humano</t>
  </si>
  <si>
    <t>Ejecutar 90% PRESU TC 5048 DH</t>
  </si>
  <si>
    <t>Ejecutar 90% del Plan de Trabajo de Gestión del Desarrollo Humano</t>
  </si>
  <si>
    <t>Es de suma importancia que los extintores tengan las etiquetas actualizadas, se haya realizado las pruebas hidrostáticas, con el fin de que al presentarse una emergencia, no se de ningún inconveniente en el uso de los mismos. También el Minsiterio de Salud, puede realizar una visita y ver que nos encontremos al día con esto., sino puede ser una falta. 
Para una eventual sanitización del edificio en caso de un caso positivo de COVID 19.</t>
  </si>
  <si>
    <t>1.04.99 Otros servicios de gestión y apoyo</t>
  </si>
  <si>
    <t xml:space="preserve">Pago de la Revisón Técnica Vehicular ( 5 vehículos), el costo actual para RTV es de ¢15.927,25, por lo que se estima un aumento para el proximo año </t>
  </si>
  <si>
    <t>1.06 SEGUROS, REASEGUROS Y OTRAS OBLIGACIONES</t>
  </si>
  <si>
    <t>1.06.01 Seguros</t>
  </si>
  <si>
    <t xml:space="preserve">Pago de la Póliza de Incendios del Edificio y planta eléctrica.
Pago de la Póliza de 5 Vehículos institucionales </t>
  </si>
  <si>
    <t>Póliza de riesgos de trabajo</t>
  </si>
  <si>
    <t>Renovación de la Póliza 0101EQE001003208 de equipo electrónico 2020</t>
  </si>
  <si>
    <t>1.08 MANTENIMIENTO Y REPARACIÓN</t>
  </si>
  <si>
    <t>1.08.01 Mantenimiento de edificios, locales y terrenos</t>
  </si>
  <si>
    <t xml:space="preserve">Pintura de paredes externas del edificio aproximadamente 3570 mts 2 por un monto de ¢20.000.000, mantenimiento de la alarma contra incendios por un monto de ¢1.000.000,  limpieza de  dos cajas de registro de aguas grises y aguas negras por un monto de ¢60.000 y imprevistos que surgan en el proximo año por un monto de ¢1.000.000,00. 
Reparación del techo del parqueo </t>
  </si>
  <si>
    <t>1.08.05 Mantenimiento y reparación de equipo de transporte</t>
  </si>
  <si>
    <t>Reparación de equipo de transporte, unidades 238-25 y 238-26</t>
  </si>
  <si>
    <t>1.08.06 Mantenimiento y reparación de equipo de comunicación</t>
  </si>
  <si>
    <t>Para cubirir los contratos de mantenimiento para la central telefónica (12 visitas anuales) y el las cámaras de vigilancia (CCTV) (cuatro visitas anuales)</t>
  </si>
  <si>
    <t>1.08.07 Mantenimiento y reparación de equipo y mobiliario de oficina</t>
  </si>
  <si>
    <r>
      <t xml:space="preserve">Para cubrir el contrato de mantenimiento de los aires acondicionados del cuarto de servidores (Una visita anual), según contrato para la tercer renovación </t>
    </r>
    <r>
      <rPr>
        <sz val="10"/>
        <color rgb="FFFF0000"/>
        <rFont val="Franklin Gothic Book"/>
        <family val="2"/>
      </rPr>
      <t>Ver mantenimiento correctivo</t>
    </r>
  </si>
  <si>
    <t>1.08.08 Mantenimiento y reparación de equipo de cómputo y sistemas</t>
  </si>
  <si>
    <t>Cubrir contrato de mantenimiento de la UPS del cuarto de servidores una visita anual (170,000  + IVA).
Contrato de mantenimiento  anual de  Wizdom ($50*17*12*670+ IVA) y su actualización ¢4,300,000 + IVA.
Mantenimiento preventivo para 15 computadoras de escritorio (25,000 C/U), 45 computadoras portátiles (20,000 C/U) , 3 impresoras de inyección (15,000 C/U), 1 escáner (20,000 C/U), 6 servidores (110,000 C/U), Mantenimiento correctivo para 4 impresoras multifuncionales (375,000 C/U) mas el IVA</t>
  </si>
  <si>
    <t>1.09 IMPUESTOS</t>
  </si>
  <si>
    <t>1.99.02 Intereses moratorios y multas</t>
  </si>
  <si>
    <t xml:space="preserve">Intereses moratorios CCSS factura adicional </t>
  </si>
  <si>
    <t>1.09.99 Otros impuestos</t>
  </si>
  <si>
    <t>Pago del derecho de circulación de 5 vehículos</t>
  </si>
  <si>
    <t>02-05 Asesoría Legal</t>
  </si>
  <si>
    <t>AL0301</t>
  </si>
  <si>
    <t>Ejecutar 90% PRESU TC 5048 AL</t>
  </si>
  <si>
    <t>AL0101</t>
  </si>
  <si>
    <t>Ejecutar el 90% del Plan de Trabajo de la Asesoría Legal.</t>
  </si>
  <si>
    <t>Este monto es destinado a la compra de timbres ficales, legales y de abogado para la presentación de escritos judiciales y administrativos, así como para obtención de copias de expedientes judicales y administrativos de indole legal.</t>
  </si>
  <si>
    <t>_2_MATERIALES_Y_SUMINISTROS</t>
  </si>
  <si>
    <t>2 .01 PRODUCTOS QUÍMICOS Y CONEXOS</t>
  </si>
  <si>
    <t>2.01.01 Combustibles y lubricantes</t>
  </si>
  <si>
    <t>Pago de tarjeta de gastos de combustible de los vehículos para asuntos  de servicios que brinda la unidad y planta eléctrica del CONICIT</t>
  </si>
  <si>
    <t>2.01.04 Tintas, pinturas y diluyentes</t>
  </si>
  <si>
    <t>Compra de  Toners para impresoras multifuncionales ubicadas en los diferentes pisos del CONICIT  asi como carturchos de tintas para impresoras Canon Maxify y Canon Pixma ubicadas en TICS y oficina de actas, costo estimado de acuerdo a la ultima cotizaciones recibidas para la contratacion para la compra 2020.</t>
  </si>
  <si>
    <t>En E2 se considera el 50% de lo solicitado considerando la modalidad de teletrabajo</t>
  </si>
  <si>
    <t>2.03 MATERIALES Y PRODUCTOS DE USO EN LA CONSTRUCCIÓN Y
MANTENIMIENTO</t>
  </si>
  <si>
    <t>2.03.04 Materiales y productos eléctricos, telefónicos y de cómputo</t>
  </si>
  <si>
    <t>5  dispositivo de Firma Digital 30,000 c/u, 80 cables de red (Patch cord) cat 6 para conexión de switches y red local 3,000 c-u,  1 Kt de herramientas de instalación de red Red RJ45 (Incluya Tester de cables, ponchadora, perforadora)</t>
  </si>
  <si>
    <t>2.04 HERRAMIENTAS, REPUESTOS Y ACCESORIOS</t>
  </si>
  <si>
    <t>2.04.02 Repuestos y accesorios</t>
  </si>
  <si>
    <t>Compra de al menos 8 llantas de respuesto para los vehiculos del CONICIT. Compra 3 baterías para los vehículos placas 238-5, 238-6 y 238-7</t>
  </si>
  <si>
    <t xml:space="preserve">En E2 se considera el 50% </t>
  </si>
  <si>
    <t>2.99 ÚTILES, MATERIALES Y SUMINISTROS DIVERSOS</t>
  </si>
  <si>
    <t>2.99.01 Útiles y materiales de oficina y cómputo</t>
  </si>
  <si>
    <t xml:space="preserve">Compra de suministros de oficina </t>
  </si>
  <si>
    <t>2.99.02 Útiles y materiales médico, hospitalario y de investigación</t>
  </si>
  <si>
    <t>Para la compra de Solución Alcohólica Antiséptica para Higiene de Manos que vende la FANAL.</t>
  </si>
  <si>
    <t>2.99.03 Productos de papel, cartón e impresos</t>
  </si>
  <si>
    <t>Compra de suministros de papel papel bond oficio para el uso diario de las actividades de las oficinas del CONICIT.
Compra de cajas de cartón para el archivo de expedientes</t>
  </si>
  <si>
    <t>_5_BIENES_DURADEROS</t>
  </si>
  <si>
    <t>5.01 MAQUINARIA, EQUIPO Y MOBILIARIO</t>
  </si>
  <si>
    <t>5.01.03 Equipo de comunicación</t>
  </si>
  <si>
    <t>SE0103</t>
  </si>
  <si>
    <t>Ejecutar 90% del PRESU-3% PROPYME SE</t>
  </si>
  <si>
    <t xml:space="preserve">De acuerdo con la Ley de Promoción del Desarrollo Científico Tecnológico Ley 7169, Capítulo IV, artículo 23 y artículo 24, se requiere la compra del siguiente equipo: tres Micrófonos, grabadores digitales (mezcladora de sonidos), auriculares (audífonos), software de grabación y edición. Este equipo será utilizado para la producción de programas radiofónicos y podcast vía internet que se puedan archivar en apps como "Spotify". Lo anterior para divulgación y promoción de resultados y de proyectos de beneficarios del Fondo Propyme  que beneficien a los sectores productivos del país.
Las producciones que se realicen con este equipo permitirán a la institución actuar como un puente entre la información tecnológica generada en los centros  de investigación público o privados y el público no especializado. La simplificación del lenguaje tecnológico  y su divulgación es esencial para la educación del ciudadano, para el alcance de gobernantes y tomadores de decisiones de modo que se promuevan más acciones direccionadas a una sociedad más educada, innovadora y económica y ambientalmente sostenible. Además, en la nueva normalidad que nos envuelve a causa de la Pandemia Covid- 19 los medios virtuales que permitan llegar al ciudadano de forma eficiente no presencial se hacen cada vez más necesarios.
</t>
  </si>
  <si>
    <t>5.01.04 Equipo y mobiliario de oficina</t>
  </si>
  <si>
    <t>Compra trituradora de papel</t>
  </si>
  <si>
    <t>5.99 BIENES DURADEROS DIVERSOS</t>
  </si>
  <si>
    <t>5.99.03 Bienes intangibles</t>
  </si>
  <si>
    <t>TC0104</t>
  </si>
  <si>
    <t>Página Web</t>
  </si>
  <si>
    <t>TC0105</t>
  </si>
  <si>
    <t>TC0106</t>
  </si>
  <si>
    <t>1- Renovacion de licencia de Zextras anual ($1,100), Renovacion de licencias de antivirus y seguridad perimetral de Panda ($5,000), renovacion de 12 licencias de Adobe Acrobat ($1,900), una licencia de Adobe Illustrator ($350), 2 licencias de Adobe Photo Shop ($700), a todo este rubro se le suma el IVA.
2- Adquisicion y mantenimiento mensual de licencias de ZIMBRA Network Edition para 100 buzones, licenciamiento perpetuo (un solo pago de $1600 + IVA) y servicio mensual de soporte y mantenimiento con 3 visitas preventivas anuales ($75 x mes + IVA).
3- Compra de 50 licencias de herramientas de trabajo virtual  para el uso de teletrabajo, TEAMS EMRESARIAL ESSENTIAL con ONE DRIVE 1TB
4- 350 HORAS PROFESIONALES PARA AJUSTES EN EL SISTEMA WIZDOM NICSP, Planilla Ley 9635, cambios en la evaluación del desempeño por la nueva normativa, ajustes en reportes y boletas</t>
  </si>
  <si>
    <t>Ejecutar 90% PRESU TC 5048 DSA</t>
  </si>
  <si>
    <t>Ejecutar el 90% del Plan de Trabajo de la DSA</t>
  </si>
  <si>
    <t>350 HORAS PROFESIONALES PARA AJUSTES EN EL SISTEMA WIZDOM NICSP, Planilla Ley 9635, cambios en la evaluación del desempeño por la nueva normativa, ajustes en reportes y boletas</t>
  </si>
  <si>
    <t>_6_TRANSFERENCIAS_CORRIENTES</t>
  </si>
  <si>
    <t>6.01 TRANSFERENCIAS CORRIENTES AL SECTOR PÚBLICO</t>
  </si>
  <si>
    <t>6.01.01 Transferencias corrientes al Gobierno Central</t>
  </si>
  <si>
    <t>FI0102</t>
  </si>
  <si>
    <t>TC al MH por superávit libre 2020</t>
  </si>
  <si>
    <t>6.01.02 Transferencias corrientes a Órganos Desconcentrados</t>
  </si>
  <si>
    <t>Tributo: Comisión Nacional de Prevención de Riesgos y Atención de Emergencias (CNE). En cumplimiento a lo establecido en el Artículo 46 de la Ley 8488 correspondiente al pago del 3% del superávit libre como resultado de la liquidación presupuestaria del año anterior. Se estimo con el promedio de los años 2018-2019-2020.</t>
  </si>
  <si>
    <t>6.01.03 Transferencias corrientes a Instituciones Descentralizadas no</t>
  </si>
  <si>
    <t>01-06 Unidad Gestión del Financiamiento</t>
  </si>
  <si>
    <t>GF0302</t>
  </si>
  <si>
    <t>Ejecutar 90% PRESU TC 7169 GF</t>
  </si>
  <si>
    <t>GF0101</t>
  </si>
  <si>
    <t>Ejecutar el 90% del Plan de Trabajo de Gestión del Financiamiento.</t>
  </si>
  <si>
    <t>Compromisos y reservas Fondo de Incentivos según convocatorias del MICITT</t>
  </si>
  <si>
    <t>GF0306</t>
  </si>
  <si>
    <t>Sustitución de FF</t>
  </si>
  <si>
    <t>GF0103</t>
  </si>
  <si>
    <t>Ejecutar 90% PRESU TC 9028 GF</t>
  </si>
  <si>
    <t>Compromisos y reservas Fondo de Incentivos según convocatorias del MS. Se hace  Sustitución de FF En Wizdom solo se rebajo el disponible de ¢35.124.136 sin ejecutar, lo otro queda en la meta de TC aunque se pagó con superávit</t>
  </si>
  <si>
    <t>926 Superavit específico Ley 9028 Tabaco</t>
  </si>
  <si>
    <t>GF0305</t>
  </si>
  <si>
    <t>Sustitución de FF. En Wizdom solo se aumento  ¢35.991.956 lo otro queda en la meta de TC aunque se pagó con superávit</t>
  </si>
  <si>
    <t>6.01.08 Fondos en fideicomiso para gasto corriente</t>
  </si>
  <si>
    <t>Ejecutar 90% PRESU TC 8262 GF</t>
  </si>
  <si>
    <t>6.02 TRANSFERENCIAS CORRIENTES A PERSONAS</t>
  </si>
  <si>
    <t>6.02.02 Becas a terceras personas</t>
  </si>
  <si>
    <t>6.02.99 Otras transferencias a personas</t>
  </si>
  <si>
    <t>VA0106</t>
  </si>
  <si>
    <t>Sustitución de FF Premio Nacional en CyT</t>
  </si>
  <si>
    <t>6.03 PRESTACIONES</t>
  </si>
  <si>
    <t>6.03.01 Prestaciones legales</t>
  </si>
  <si>
    <t>Se le solicitó a los colaboradores vía correo electrónico que indicaran su intención de jubilarse en el año 2021.  Las personas que respondieron, indicaron que previo a jubilarse disfrutarían las vacaciones acumuladas, por lo que por este concepto no habría que hacer erogación alguna.  Con respecto a la cesantía, romperían el tope y la Asociación Solidarista estaría cubriendo ese rubro.  Se prevee un monto de ¢250.000,00 por alguna diferencia salarial o cesgo.  Programa 1</t>
  </si>
  <si>
    <t>Se le solicitó a los colaboradores vía correo electrónico que indicaran su intención de jubilarse en el año 2021.  Las personas que respondieron, indicaron que previo a jubilarse disfrutarían las vacaciones acumuladas, por lo que por este concepto no habría que hacer erogación alguna.  Con respecto a la cesantía, romperían el tope y la Asociación Solidarista estaría cubriendo ese rubro.  Se prevee un monto de ¢250.000,00 por alguna diferencia salarial o cesgo.  Programa 2</t>
  </si>
  <si>
    <t>Corresponde al pago de subsidio por incapacidades del INS o de la CCSS.  Programa 1</t>
  </si>
  <si>
    <t>Corresponde al pago de subsidio por incapacidades del INS o de la CCSS.  Programa 2</t>
  </si>
  <si>
    <t>6.04 TRANSFERENCIAS CORRIENTES A ENTIDADES PRIVADAS SIN FINES DE LUCRO</t>
  </si>
  <si>
    <t>6.04.02 Transferencias corrientes a fundaciones</t>
  </si>
  <si>
    <t>Compromisos y reservas Fondo de Incentivos según convocatorias del MICITT. Se hace sustitución de FF. En Wizdom sólo rebajo el disponible de ¢30.796.978 sin ejecutar, lo otro queda en la meta de TC aunque se pagó con superávit</t>
  </si>
  <si>
    <t>Sustitución de FF. En Wizdom solo se rebajo el disponible de ¢30.796.978 sin ejecutar, lo otro queda en la meta de TC  aunque se pagó con superávit</t>
  </si>
  <si>
    <t>6.05 TRANSFERENCIAS CORRIENTES A EMPRESAS PRIVADAS</t>
  </si>
  <si>
    <t>6.05.01 Transferencias corrientes a empresas privadas</t>
  </si>
  <si>
    <t>6.06 OTRAS TRANSFERENCIAS CORRIENTES AL SECTOR PRIVADO</t>
  </si>
  <si>
    <t>6.06.01 Indemnizaciones</t>
  </si>
  <si>
    <t>Monto previsto para contingencias ante denuncias, contrademandas, etc</t>
  </si>
  <si>
    <t>E2 se reduce por limitaciones presupuestarias y se considera una previsión</t>
  </si>
  <si>
    <t>6.07 TRANSFERENCIAS CORRIENTES AL SECTOR EXTERNO</t>
  </si>
  <si>
    <t>6.07.01 Transferencias corrientes a organismos internacionales</t>
  </si>
  <si>
    <t xml:space="preserve">Pago de cuotas de Organismos Internacionales para el año 2021. Ministerio de Hacienda de conformidad con lo establecido en la Ley 3418 por concepto de cuotas de Organismos Internacionales para el año 2020. Se estimo con el promedio de los años monto cancelado para el período 2019. </t>
  </si>
  <si>
    <t>Pago membresía Interciencia</t>
  </si>
  <si>
    <t>_9_CUENTAS_ESPECIALES</t>
  </si>
  <si>
    <t>9.02 SUMAS SIN ASIGNACIÓN PRESUPUESTARIA</t>
  </si>
  <si>
    <t>9.02.01 Sumas libres sin asignación presupuestaria</t>
  </si>
  <si>
    <t>Por improbación de la CGR</t>
  </si>
  <si>
    <t>921 SUPERAVIT ESPECIFICO Ley 7169 Fondo de Incentivos</t>
  </si>
  <si>
    <t>926 SUPERAVIT ESPECIFICO Ley 9028 Tabaco</t>
  </si>
  <si>
    <t>900 SUPERAVIT LIBRE Ley 5048 CONICIT</t>
  </si>
  <si>
    <t>924 SUPERAVIT ESPECIFICO 3% Propyme</t>
  </si>
  <si>
    <t>5 BIENES DURADEROS</t>
  </si>
  <si>
    <t>Etiquetas de fila</t>
  </si>
  <si>
    <t>Suma de Presupuesto total</t>
  </si>
  <si>
    <t>Suma de Resevas</t>
  </si>
  <si>
    <t xml:space="preserve">Suma de Compromisos </t>
  </si>
  <si>
    <t>Suma de Ejecutado</t>
  </si>
  <si>
    <t>Suma de Saldo disponible</t>
  </si>
  <si>
    <t>RESULTADO DEL PERIODO</t>
  </si>
  <si>
    <t>PRESUPUESTO INICIAL</t>
  </si>
  <si>
    <t>PRESUPUESTO EXTRAORDINARIO</t>
  </si>
  <si>
    <t>TOTAL MODIFICACIONES</t>
  </si>
  <si>
    <t>TOTAL EJECUTADO I TRIMESTRE</t>
  </si>
  <si>
    <t>TOTAL EJECUTADO II TRIMESTRE</t>
  </si>
  <si>
    <t>MONTO POR PRESUPUESTAR</t>
  </si>
  <si>
    <t>Total Fondo de Incentivos y Tabaco</t>
  </si>
  <si>
    <t>Estado de la ayuda</t>
  </si>
  <si>
    <t>Código</t>
  </si>
  <si>
    <t>Beneficiario</t>
  </si>
  <si>
    <t>Programa</t>
  </si>
  <si>
    <t>Nombre del proyecto</t>
  </si>
  <si>
    <t>Saldo por girar con presupuesto 2021</t>
  </si>
  <si>
    <t>Otros interéses</t>
  </si>
  <si>
    <t>Compromiso</t>
  </si>
  <si>
    <t>FI-078B-17</t>
  </si>
  <si>
    <t>William Alberto Rojas Vargas</t>
  </si>
  <si>
    <t>Estudios de posgrado</t>
  </si>
  <si>
    <t xml:space="preserve">Maestría en Gestión y Estudios Ambientales </t>
  </si>
  <si>
    <t xml:space="preserve">El caso tiene incumplimiento contractual por lo cual se trasladó a la Asesoría Legal para el debido proceso. </t>
  </si>
  <si>
    <t>FI-261B-17</t>
  </si>
  <si>
    <t>Universidad Nacional (UNA)</t>
  </si>
  <si>
    <t>Proyectos de investigación</t>
  </si>
  <si>
    <t>Facilitation of green adaptation techniques for reduction of seasonal water scarcity in Costa Rica</t>
  </si>
  <si>
    <t>Pendiente Adenda por ampliación al plazo de ejecución aprobado por el Consejo Director según Comunicado de Acuerdo AC-291-19 del 11/10/2019.</t>
  </si>
  <si>
    <t>FI-009B-18</t>
  </si>
  <si>
    <t>David Anthony Romero Zambrano</t>
  </si>
  <si>
    <t>Maestría Académica en Ciencias de la Computación e Informática</t>
  </si>
  <si>
    <t>Pendiente Adenda por ampliación al plazo de ejecución aprobado por el Consejo Director según Comunicado de Acuerdo AC-270-20 del 08/07/2020.</t>
  </si>
  <si>
    <t>Fundación Centro de Alta Tecnología (FUNCENAT)</t>
  </si>
  <si>
    <t>FI-058B-19</t>
  </si>
  <si>
    <t>Instituto Tecnológico de Costa Rica (ITCR)</t>
  </si>
  <si>
    <t>Proyecto de Investigación Aplicada</t>
  </si>
  <si>
    <t>Desarrollo y transferencia del conocimiento científico y métodos agroforestales para la producción óptima y sostenible de fibras naturales de abacá (Musa textilis Née) para la exportación</t>
  </si>
  <si>
    <t xml:space="preserve">Considerando que el contrato salió a nombre del ITCR y no indicaba que los recursos iban a ser administrados por la Fundatec como se solicitó, no se han girado los recursos hasta tanto esto no se resuelva. </t>
  </si>
  <si>
    <t xml:space="preserve">Universidad Nacional (UNA)  </t>
  </si>
  <si>
    <t>FI-050B-19</t>
  </si>
  <si>
    <t xml:space="preserve">Speratum CR SA  </t>
  </si>
  <si>
    <t>Desarrollo de un compuesto polimérico patentado de LGA-PEI para la formación de nanopartículas como agentes de transfección de uso comercial</t>
  </si>
  <si>
    <t>TOTAL COMPROMISOS</t>
  </si>
  <si>
    <t>Observaciones</t>
  </si>
  <si>
    <t>Reserva</t>
  </si>
  <si>
    <t>FI-055B-19</t>
  </si>
  <si>
    <t xml:space="preserve">Universidad Técnica Nacional (UTN)   </t>
  </si>
  <si>
    <t>Revalorización de la broza del café como material adsorbente alternativo al carbón activado en la remoción del bromacil de fuentes agua</t>
  </si>
  <si>
    <t>No se ha recibido el contrato. Este proyecto se estará ejecutando en conjunto con la FUNCENAT, UCR y el ITCR.</t>
  </si>
  <si>
    <t>FI-055C-19</t>
  </si>
  <si>
    <t>FI-055D-19</t>
  </si>
  <si>
    <t>Universidad de Costa Rica (UCR)</t>
  </si>
  <si>
    <t>FI-055E-19</t>
  </si>
  <si>
    <t>FI-056B-19</t>
  </si>
  <si>
    <t>Aumento de competitividad del sector morero mediante la valorización de la diversidad genética y química medicinal de la fruta y hoja de la mora costarricense (Rubus spp.)</t>
  </si>
  <si>
    <t xml:space="preserve">No se ha recibido el contrato </t>
  </si>
  <si>
    <t>FI-047B-19</t>
  </si>
  <si>
    <t>Biofábrica para el rejuvenecimiento y reproducción masiva de material seleccionado de Melina (Gmelina arborea Roxb.) para el sector forestal costarricense</t>
  </si>
  <si>
    <t>TOTAL RESERVAS</t>
  </si>
  <si>
    <t>TOTAL COMPROMISOS Y RESERVAS CON FONDO DE INCENTIVOS</t>
  </si>
  <si>
    <t>Proyectos del Fondo de Incentivos</t>
  </si>
  <si>
    <t>Programado a ejecutarse en el segundo semestre 2021</t>
  </si>
  <si>
    <t>Proyectos del Fondo de Tabaco</t>
  </si>
  <si>
    <t>FI-063B-19</t>
  </si>
  <si>
    <t>Fortalecimiento de las capacidades regulatorias del Ministerio de Salud para la prevención y minimización de los impactos generados por el consumo de tabaco.</t>
  </si>
  <si>
    <t>Presupuesto inicial</t>
  </si>
  <si>
    <t>Presupuesto extraordinario</t>
  </si>
  <si>
    <t>SALDO SIN EJECUTAR</t>
  </si>
  <si>
    <t>Presupuesto final aprobado</t>
  </si>
  <si>
    <t>Reservas</t>
  </si>
  <si>
    <t>Compromisos</t>
  </si>
  <si>
    <t>Notas:</t>
  </si>
  <si>
    <t xml:space="preserve">1/ Se aclara que en el Sistema Administrativo Wizdom, el reporte por fuente de financiamiento indica que se ejecutaron ¢284.137.104,00 con fuente de financiamiento Transferencia Corriente Fondo de Incentivos, siendo lo correcto la suma de ¢261.159.637,00 y, la diferencia de ¢22.977.467,00 más ¢6.220.871,00 fueron ejecutados con recursos del Superávit específico Fondo de Incentivos según lo indicado en el Presupuesto Extraordinario. </t>
  </si>
  <si>
    <t xml:space="preserve">2/ Con respecto al Fondo de Tabaco, se aclara que en el Sistema Administrativo Wizdom, el reporte por fuente de financiamiento indica que se ejecutaron ¢14.875.864,00 con fuente de financiamiento Transferencia Corriente Fondo deTabaco, siendo lo correcto una ejecución de ¢0.00 ya que el monto de ¢14.875.864,00 fue ejecutado con recursos del Superávit específico Fondo de Tabaco según lo indicado en el Presupuesto Extraordinario. </t>
  </si>
  <si>
    <t>AL 30 DE JUNIO 2021</t>
  </si>
  <si>
    <t>Renta por pagar salarios y dietas</t>
  </si>
  <si>
    <t xml:space="preserve">Renta por pagar proveedores </t>
  </si>
  <si>
    <t>CCSS cuota obrera del mes de junio por pagar</t>
  </si>
  <si>
    <t>CCSS cuota obrera del mes de diciembre pagada en enero</t>
  </si>
  <si>
    <t xml:space="preserve">Exonerados </t>
  </si>
  <si>
    <t>Redondeo por pago CCSS e ISR</t>
  </si>
  <si>
    <t>Intereses ganados BCR-001-0305777-1 (no considerados en saldos de cuentas)</t>
  </si>
  <si>
    <t>Caja chica depositada temporalmente en la 1015</t>
  </si>
  <si>
    <t>Diferencia entre saldo CU y liquidación diciembre 2020</t>
  </si>
  <si>
    <t>ingreso a FI que no corresponde</t>
  </si>
  <si>
    <t>cta por cobrar empleados</t>
  </si>
  <si>
    <t>EJECUCIÓN PRESUPUESTARIA II TRIMESTRE 2021</t>
  </si>
  <si>
    <t xml:space="preserve"> II Trimestre, 2021</t>
  </si>
  <si>
    <t>6.07.01 Transferencias Corrientes a Organismos Internacionales</t>
  </si>
  <si>
    <t>Ministerio de Hacienda</t>
  </si>
  <si>
    <t>6.04.02 Transferencias Corrientes a Fundaciones</t>
  </si>
  <si>
    <t>Universidad Nacional</t>
  </si>
  <si>
    <t>6.01.01 Transferencias Corrientes al Gobierno Central</t>
  </si>
  <si>
    <t>Desarrollo de proyectos de investigación con recursos del Fondo de Tabaco Ley 9028.</t>
  </si>
  <si>
    <t>Reintegro del superávit libre 2020 según Decreto N° 42745-H reforma el artículo 17 del Título IV, Capítulo III de la Ley N°9635 “Fortalecimiento de las Finanzas Públicas” y Circular CIRTN- 019-2020.</t>
  </si>
  <si>
    <t>Cuota de Organismos Internacionales 2021, según lo indicado en oficio TN-UCI-0140-2021.</t>
  </si>
  <si>
    <t>Desarrollo de proyecto de investigación aplicada con recursos del Fondo de Incentivos, Ley 7169.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</si>
</sst>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_¢_-;\-* #,##0.00\ _¢_-;_-* &quot;-&quot;??\ _¢_-;_-@_-"/>
    <numFmt numFmtId="165" formatCode="_(* #,##0.00_);_(* \(#,##0.00\);_(* &quot;-&quot;??_);_(@_)"/>
    <numFmt numFmtId="166" formatCode="_-* #,##0.00\ _P_t_s_-;\-* #,##0.00\ _P_t_s_-;_-* &quot;-&quot;??\ _P_t_s_-;_-@_-"/>
    <numFmt numFmtId="167" formatCode="#.00,,"/>
    <numFmt numFmtId="168" formatCode="&quot;₡&quot;#,##0.00"/>
  </numFmts>
  <fonts count="58"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0"/>
      <name val="Arial"/>
      <family val="2"/>
    </font>
    <font>
      <sz val="10"/>
      <name val="Courier"/>
      <family val="3"/>
    </font>
    <font>
      <sz val="10"/>
      <name val="Courier"/>
      <family val="3"/>
    </font>
    <font>
      <sz val="11"/>
      <name val="Arial Narrow"/>
      <family val="2"/>
    </font>
    <font>
      <b/>
      <sz val="9"/>
      <color theme="1"/>
      <name val="Arial"/>
      <family val="2"/>
    </font>
    <font>
      <sz val="9"/>
      <color theme="1"/>
      <name val="Arial"/>
      <family val="2"/>
    </font>
    <font>
      <b/>
      <sz val="9"/>
      <name val="Arial"/>
      <family val="2"/>
    </font>
    <font>
      <b/>
      <sz val="11"/>
      <name val="Arial"/>
      <family val="2"/>
    </font>
    <font>
      <b/>
      <sz val="11"/>
      <color theme="1"/>
      <name val="Arial"/>
      <family val="2"/>
    </font>
    <font>
      <sz val="11"/>
      <color theme="1"/>
      <name val="Arial"/>
      <family val="2"/>
    </font>
    <font>
      <b/>
      <sz val="11"/>
      <color theme="0"/>
      <name val="Arial"/>
      <family val="2"/>
    </font>
    <font>
      <sz val="10"/>
      <name val="Arial"/>
      <family val="2"/>
    </font>
    <font>
      <sz val="8"/>
      <name val="Arial"/>
      <family val="2"/>
    </font>
    <font>
      <b/>
      <sz val="8"/>
      <name val="Arial"/>
      <family val="2"/>
    </font>
    <font>
      <sz val="9"/>
      <name val="Arial"/>
      <family val="2"/>
    </font>
    <font>
      <b/>
      <sz val="8"/>
      <color rgb="FFFF0000"/>
      <name val="Arial"/>
      <family val="2"/>
    </font>
    <font>
      <sz val="8"/>
      <color rgb="FFFF0000"/>
      <name val="Arial"/>
      <family val="2"/>
    </font>
    <font>
      <b/>
      <sz val="11"/>
      <name val="Verdana"/>
      <family val="2"/>
    </font>
    <font>
      <b/>
      <sz val="11"/>
      <name val="Arial Narrow"/>
      <family val="2"/>
    </font>
    <font>
      <b/>
      <i/>
      <sz val="11"/>
      <name val="Arial Narrow"/>
      <family val="2"/>
    </font>
    <font>
      <sz val="10"/>
      <name val="Arial"/>
      <family val="2"/>
    </font>
    <font>
      <b/>
      <u/>
      <sz val="8"/>
      <name val="Arial"/>
      <family val="2"/>
    </font>
    <font>
      <sz val="8"/>
      <color indexed="62"/>
      <name val="Arial"/>
      <family val="2"/>
    </font>
    <font>
      <sz val="8"/>
      <color indexed="10"/>
      <name val="Arial"/>
      <family val="2"/>
    </font>
    <font>
      <b/>
      <u/>
      <sz val="8"/>
      <color rgb="FFFF0000"/>
      <name val="Arial"/>
      <family val="2"/>
    </font>
    <font>
      <sz val="10"/>
      <name val="Calibri"/>
      <family val="2"/>
      <scheme val="minor"/>
    </font>
    <font>
      <b/>
      <sz val="10"/>
      <name val="Calibri"/>
      <family val="2"/>
      <scheme val="minor"/>
    </font>
    <font>
      <b/>
      <sz val="11"/>
      <color theme="0"/>
      <name val="Arial Narrow"/>
      <family val="2"/>
    </font>
    <font>
      <b/>
      <sz val="12"/>
      <name val="Arial Narrow"/>
      <family val="2"/>
    </font>
    <font>
      <b/>
      <sz val="12"/>
      <color theme="0"/>
      <name val="Arial Narrow"/>
      <family val="2"/>
    </font>
    <font>
      <b/>
      <sz val="14"/>
      <name val="Arial Narrow"/>
      <family val="2"/>
    </font>
    <font>
      <sz val="10"/>
      <color rgb="FF000000"/>
      <name val="Arial"/>
      <family val="2"/>
    </font>
    <font>
      <b/>
      <sz val="10"/>
      <color rgb="FF000000"/>
      <name val="Arial"/>
      <family val="2"/>
    </font>
    <font>
      <b/>
      <sz val="10"/>
      <color theme="0" tint="-4.9989318521683403E-2"/>
      <name val="Arial"/>
      <family val="2"/>
    </font>
    <font>
      <sz val="10"/>
      <color rgb="FF000000"/>
      <name val="Cambria"/>
      <family val="1"/>
    </font>
    <font>
      <b/>
      <sz val="10"/>
      <name val="Arial"/>
      <family val="2"/>
    </font>
    <font>
      <sz val="11"/>
      <color rgb="FFFF0000"/>
      <name val="Calibri"/>
      <family val="2"/>
      <scheme val="minor"/>
    </font>
    <font>
      <b/>
      <sz val="12"/>
      <name val="Calibri"/>
      <family val="2"/>
      <scheme val="minor"/>
    </font>
    <font>
      <b/>
      <sz val="10"/>
      <color theme="0"/>
      <name val="Arial"/>
      <family val="2"/>
    </font>
    <font>
      <b/>
      <sz val="11"/>
      <color theme="1"/>
      <name val="Franklin Gothic Book"/>
      <family val="2"/>
    </font>
    <font>
      <sz val="10"/>
      <name val="Franklin Gothic Book"/>
      <family val="2"/>
    </font>
    <font>
      <sz val="10"/>
      <color theme="1"/>
      <name val="Franklin Gothic Book"/>
      <family val="2"/>
    </font>
    <font>
      <b/>
      <sz val="12"/>
      <color theme="0"/>
      <name val="Franklin Gothic Book"/>
      <family val="2"/>
    </font>
    <font>
      <b/>
      <sz val="12"/>
      <name val="Franklin Gothic Book"/>
      <family val="2"/>
    </font>
    <font>
      <sz val="10"/>
      <color rgb="FFFF0000"/>
      <name val="Franklin Gothic Book"/>
      <family val="2"/>
    </font>
    <font>
      <b/>
      <sz val="10"/>
      <color theme="1"/>
      <name val="Franklin Gothic Book"/>
      <family val="2"/>
    </font>
    <font>
      <b/>
      <sz val="9"/>
      <color indexed="81"/>
      <name val="Tahoma"/>
      <family val="2"/>
    </font>
    <font>
      <sz val="9"/>
      <color indexed="81"/>
      <name val="Tahoma"/>
      <family val="2"/>
    </font>
    <font>
      <b/>
      <sz val="10"/>
      <color theme="1"/>
      <name val="Arial"/>
      <family val="2"/>
    </font>
    <font>
      <b/>
      <sz val="11"/>
      <color theme="0"/>
      <name val="Calibri"/>
      <family val="2"/>
      <scheme val="minor"/>
    </font>
    <font>
      <b/>
      <sz val="14"/>
      <color theme="1"/>
      <name val="Arial"/>
      <family val="2"/>
    </font>
    <font>
      <b/>
      <sz val="18"/>
      <color theme="1"/>
      <name val="Calibri"/>
      <family val="2"/>
      <scheme val="minor"/>
    </font>
    <font>
      <sz val="11"/>
      <name val="Calibri"/>
      <family val="2"/>
      <scheme val="minor"/>
    </font>
    <font>
      <sz val="12"/>
      <color theme="1"/>
      <name val="Calibri"/>
      <family val="2"/>
      <scheme val="minor"/>
    </font>
  </fonts>
  <fills count="17">
    <fill>
      <patternFill patternType="none"/>
    </fill>
    <fill>
      <patternFill patternType="gray125"/>
    </fill>
    <fill>
      <patternFill patternType="solid">
        <fgColor theme="4" tint="-0.249977111117893"/>
        <bgColor indexed="64"/>
      </patternFill>
    </fill>
    <fill>
      <patternFill patternType="solid">
        <fgColor rgb="FFFFFF00"/>
        <bgColor indexed="64"/>
      </patternFill>
    </fill>
    <fill>
      <patternFill patternType="solid">
        <fgColor theme="4"/>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002060"/>
        <bgColor rgb="FF000000"/>
      </patternFill>
    </fill>
    <fill>
      <patternFill patternType="solid">
        <fgColor theme="4" tint="-0.249977111117893"/>
        <bgColor theme="4" tint="0.79998168889431442"/>
      </patternFill>
    </fill>
    <fill>
      <patternFill patternType="solid">
        <fgColor theme="4" tint="0.39997558519241921"/>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
      <patternFill patternType="solid">
        <fgColor rgb="FF75702B"/>
        <bgColor indexed="64"/>
      </patternFill>
    </fill>
    <fill>
      <patternFill patternType="solid">
        <fgColor theme="8" tint="0.39997558519241921"/>
        <bgColor indexed="64"/>
      </patternFill>
    </fill>
    <fill>
      <patternFill patternType="solid">
        <fgColor theme="9"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medium">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bottom/>
      <diagonal/>
    </border>
    <border>
      <left style="thin">
        <color indexed="64"/>
      </left>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126">
    <xf numFmtId="0" fontId="0" fillId="0" borderId="0"/>
    <xf numFmtId="164" fontId="1" fillId="0" borderId="0" applyFont="0" applyFill="0" applyBorder="0" applyAlignment="0" applyProtection="0"/>
    <xf numFmtId="9" fontId="1" fillId="0" borderId="0" applyFont="0" applyFill="0" applyBorder="0" applyAlignment="0" applyProtection="0"/>
    <xf numFmtId="0" fontId="4" fillId="0" borderId="0"/>
    <xf numFmtId="0" fontId="5" fillId="0" borderId="0"/>
    <xf numFmtId="165" fontId="6" fillId="0" borderId="0" applyFont="0" applyFill="0" applyBorder="0" applyAlignment="0" applyProtection="0"/>
    <xf numFmtId="164" fontId="1"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15" fillId="0" borderId="0"/>
    <xf numFmtId="0" fontId="4" fillId="0" borderId="0"/>
    <xf numFmtId="9" fontId="1" fillId="0" borderId="0" applyFont="0" applyFill="0" applyBorder="0" applyAlignment="0" applyProtection="0"/>
    <xf numFmtId="0" fontId="24" fillId="0" borderId="0"/>
    <xf numFmtId="164" fontId="1" fillId="0" borderId="0" applyFont="0" applyFill="0" applyBorder="0" applyAlignment="0" applyProtection="0"/>
    <xf numFmtId="165" fontId="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66" fontId="4" fillId="0" borderId="0" applyFont="0" applyFill="0" applyBorder="0" applyAlignment="0" applyProtection="0"/>
    <xf numFmtId="0" fontId="4" fillId="0" borderId="0"/>
    <xf numFmtId="0" fontId="4"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4"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4"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cellStyleXfs>
  <cellXfs count="608">
    <xf numFmtId="0" fontId="0" fillId="0" borderId="0" xfId="0"/>
    <xf numFmtId="164" fontId="0" fillId="0" borderId="0" xfId="1" applyFont="1"/>
    <xf numFmtId="164" fontId="0" fillId="0" borderId="0" xfId="0" applyNumberFormat="1"/>
    <xf numFmtId="0" fontId="0" fillId="0" borderId="0" xfId="0" applyFill="1"/>
    <xf numFmtId="0" fontId="0" fillId="0" borderId="0" xfId="0" applyFill="1" applyBorder="1"/>
    <xf numFmtId="0" fontId="8" fillId="0" borderId="0" xfId="0" applyFont="1" applyFill="1" applyBorder="1" applyAlignment="1">
      <alignment horizontal="center"/>
    </xf>
    <xf numFmtId="0" fontId="12" fillId="0" borderId="8" xfId="0" applyFont="1" applyBorder="1"/>
    <xf numFmtId="164" fontId="12" fillId="0" borderId="0" xfId="1" applyFont="1" applyFill="1" applyBorder="1"/>
    <xf numFmtId="0" fontId="13" fillId="0" borderId="8" xfId="0" applyFont="1" applyBorder="1"/>
    <xf numFmtId="164" fontId="13" fillId="0" borderId="0" xfId="1" applyFont="1" applyFill="1" applyBorder="1"/>
    <xf numFmtId="164" fontId="13" fillId="0" borderId="0" xfId="1" applyFont="1" applyBorder="1"/>
    <xf numFmtId="0" fontId="14" fillId="2" borderId="1" xfId="0" applyFont="1" applyFill="1" applyBorder="1" applyAlignment="1">
      <alignment horizontal="center" vertical="center" wrapText="1"/>
    </xf>
    <xf numFmtId="0" fontId="7" fillId="0" borderId="0" xfId="12" applyFont="1"/>
    <xf numFmtId="0" fontId="22" fillId="0" borderId="0" xfId="12" applyFont="1"/>
    <xf numFmtId="4" fontId="22" fillId="0" borderId="0" xfId="12" applyNumberFormat="1" applyFont="1"/>
    <xf numFmtId="164" fontId="0" fillId="0" borderId="0" xfId="1" applyFont="1" applyBorder="1"/>
    <xf numFmtId="0" fontId="16" fillId="0" borderId="0" xfId="12" applyFont="1" applyBorder="1"/>
    <xf numFmtId="0" fontId="17" fillId="0" borderId="0" xfId="12" applyFont="1" applyFill="1" applyBorder="1" applyAlignment="1">
      <alignment horizontal="right"/>
    </xf>
    <xf numFmtId="0" fontId="17" fillId="0" borderId="0" xfId="12" applyFont="1" applyFill="1" applyBorder="1" applyAlignment="1">
      <alignment horizontal="center"/>
    </xf>
    <xf numFmtId="0" fontId="17" fillId="0" borderId="1" xfId="12" applyFont="1" applyFill="1" applyBorder="1" applyAlignment="1">
      <alignment horizontal="right" vertical="center" wrapText="1"/>
    </xf>
    <xf numFmtId="0" fontId="17" fillId="0" borderId="1" xfId="12" applyFont="1" applyFill="1" applyBorder="1" applyAlignment="1">
      <alignment horizontal="center" vertical="center" wrapText="1"/>
    </xf>
    <xf numFmtId="0" fontId="16" fillId="0" borderId="0" xfId="12" applyFont="1"/>
    <xf numFmtId="0" fontId="16" fillId="0" borderId="8" xfId="12" applyFont="1" applyBorder="1"/>
    <xf numFmtId="0" fontId="16" fillId="0" borderId="9" xfId="12" applyFont="1" applyBorder="1"/>
    <xf numFmtId="0" fontId="16" fillId="0" borderId="0" xfId="12" applyFont="1" applyFill="1" applyAlignment="1">
      <alignment horizontal="right"/>
    </xf>
    <xf numFmtId="0" fontId="16" fillId="0" borderId="0" xfId="12" applyFont="1" applyFill="1"/>
    <xf numFmtId="0" fontId="17" fillId="0" borderId="8" xfId="12" applyFont="1" applyBorder="1" applyAlignment="1">
      <alignment horizontal="right"/>
    </xf>
    <xf numFmtId="0" fontId="17" fillId="0" borderId="0" xfId="12" applyFont="1" applyBorder="1"/>
    <xf numFmtId="0" fontId="17" fillId="0" borderId="9" xfId="12" applyFont="1" applyBorder="1"/>
    <xf numFmtId="0" fontId="17" fillId="0" borderId="0" xfId="12" applyFont="1" applyFill="1" applyBorder="1"/>
    <xf numFmtId="0" fontId="17" fillId="0" borderId="0" xfId="12" applyFont="1"/>
    <xf numFmtId="0" fontId="16" fillId="0" borderId="0" xfId="12" applyFont="1" applyFill="1" applyBorder="1" applyAlignment="1">
      <alignment horizontal="right"/>
    </xf>
    <xf numFmtId="0" fontId="16" fillId="0" borderId="0" xfId="12" applyFont="1" applyFill="1" applyBorder="1"/>
    <xf numFmtId="0" fontId="17" fillId="0" borderId="0" xfId="12" applyFont="1" applyBorder="1" applyAlignment="1">
      <alignment horizontal="right"/>
    </xf>
    <xf numFmtId="0" fontId="25" fillId="0" borderId="0" xfId="12" applyFont="1" applyBorder="1"/>
    <xf numFmtId="0" fontId="16" fillId="0" borderId="0" xfId="12" applyFont="1" applyBorder="1" applyAlignment="1">
      <alignment horizontal="right"/>
    </xf>
    <xf numFmtId="0" fontId="26" fillId="0" borderId="0" xfId="12" applyFont="1" applyBorder="1"/>
    <xf numFmtId="0" fontId="26" fillId="0" borderId="9" xfId="12" applyFont="1" applyBorder="1"/>
    <xf numFmtId="0" fontId="16" fillId="0" borderId="8" xfId="12" applyFont="1" applyBorder="1" applyAlignment="1">
      <alignment vertical="center"/>
    </xf>
    <xf numFmtId="0" fontId="16" fillId="0" borderId="0" xfId="12" applyFont="1" applyBorder="1" applyAlignment="1">
      <alignment vertical="center"/>
    </xf>
    <xf numFmtId="0" fontId="16" fillId="0" borderId="9" xfId="12" applyFont="1" applyBorder="1" applyAlignment="1">
      <alignment horizontal="right" vertical="center"/>
    </xf>
    <xf numFmtId="0" fontId="17" fillId="0" borderId="0" xfId="12" applyFont="1" applyFill="1" applyBorder="1" applyAlignment="1">
      <alignment horizontal="right" vertical="center"/>
    </xf>
    <xf numFmtId="0" fontId="25" fillId="0" borderId="0" xfId="12" applyFont="1" applyBorder="1" applyAlignment="1">
      <alignment vertical="center" wrapText="1"/>
    </xf>
    <xf numFmtId="0" fontId="16" fillId="0" borderId="0" xfId="12" applyFont="1" applyAlignment="1">
      <alignment vertical="center"/>
    </xf>
    <xf numFmtId="0" fontId="16" fillId="0" borderId="0" xfId="12" applyFont="1" applyFill="1" applyBorder="1" applyAlignment="1">
      <alignment horizontal="right" vertical="center"/>
    </xf>
    <xf numFmtId="0" fontId="16" fillId="0" borderId="0" xfId="12" applyFont="1" applyBorder="1" applyAlignment="1">
      <alignment vertical="center" wrapText="1"/>
    </xf>
    <xf numFmtId="0" fontId="16" fillId="0" borderId="9" xfId="12" applyFont="1" applyBorder="1" applyAlignment="1">
      <alignment horizontal="right"/>
    </xf>
    <xf numFmtId="0" fontId="16" fillId="0" borderId="15" xfId="12" applyFont="1" applyBorder="1"/>
    <xf numFmtId="0" fontId="16" fillId="0" borderId="16" xfId="12" applyFont="1" applyBorder="1"/>
    <xf numFmtId="0" fontId="16" fillId="0" borderId="17" xfId="12" applyFont="1" applyBorder="1"/>
    <xf numFmtId="0" fontId="16" fillId="0" borderId="16" xfId="12" applyFont="1" applyBorder="1" applyAlignment="1">
      <alignment horizontal="right"/>
    </xf>
    <xf numFmtId="0" fontId="27" fillId="0" borderId="0" xfId="12" applyFont="1" applyBorder="1"/>
    <xf numFmtId="0" fontId="16" fillId="0" borderId="16" xfId="12" applyFont="1" applyFill="1" applyBorder="1" applyAlignment="1">
      <alignment horizontal="right"/>
    </xf>
    <xf numFmtId="0" fontId="25" fillId="0" borderId="0" xfId="12" applyFont="1" applyFill="1" applyBorder="1"/>
    <xf numFmtId="0" fontId="27" fillId="0" borderId="8" xfId="12" applyFont="1" applyBorder="1"/>
    <xf numFmtId="0" fontId="27" fillId="0" borderId="9" xfId="12" applyFont="1" applyBorder="1"/>
    <xf numFmtId="0" fontId="16" fillId="0" borderId="8" xfId="12" applyFont="1" applyFill="1" applyBorder="1"/>
    <xf numFmtId="0" fontId="17" fillId="0" borderId="9" xfId="12" applyFont="1" applyFill="1" applyBorder="1"/>
    <xf numFmtId="0" fontId="16" fillId="0" borderId="0" xfId="12" applyFont="1" applyBorder="1" applyAlignment="1">
      <alignment horizontal="right" vertical="center"/>
    </xf>
    <xf numFmtId="0" fontId="16" fillId="0" borderId="9" xfId="12" applyFont="1" applyBorder="1" applyAlignment="1">
      <alignment vertical="center"/>
    </xf>
    <xf numFmtId="0" fontId="17" fillId="0" borderId="8" xfId="12" applyFont="1" applyFill="1" applyBorder="1" applyAlignment="1">
      <alignment horizontal="right"/>
    </xf>
    <xf numFmtId="0" fontId="17" fillId="0" borderId="0" xfId="12" applyFont="1" applyBorder="1" applyAlignment="1">
      <alignment horizontal="center"/>
    </xf>
    <xf numFmtId="0" fontId="17" fillId="0" borderId="8" xfId="12" applyFont="1" applyBorder="1"/>
    <xf numFmtId="0" fontId="16" fillId="0" borderId="16" xfId="12" applyFont="1" applyFill="1" applyBorder="1"/>
    <xf numFmtId="49" fontId="17" fillId="0" borderId="0" xfId="12" applyNumberFormat="1" applyFont="1" applyBorder="1"/>
    <xf numFmtId="0" fontId="4" fillId="0" borderId="9" xfId="12" applyBorder="1"/>
    <xf numFmtId="0" fontId="16" fillId="0" borderId="0" xfId="12" applyFont="1" applyBorder="1" applyAlignment="1">
      <alignment horizontal="center"/>
    </xf>
    <xf numFmtId="0" fontId="4" fillId="0" borderId="0" xfId="12" applyBorder="1"/>
    <xf numFmtId="0" fontId="19" fillId="0" borderId="0" xfId="12" applyFont="1" applyFill="1" applyBorder="1" applyAlignment="1">
      <alignment horizontal="right"/>
    </xf>
    <xf numFmtId="0" fontId="28" fillId="0" borderId="0" xfId="12" applyFont="1" applyFill="1" applyBorder="1"/>
    <xf numFmtId="0" fontId="20" fillId="0" borderId="0" xfId="12" applyFont="1" applyFill="1" applyBorder="1" applyAlignment="1">
      <alignment horizontal="right"/>
    </xf>
    <xf numFmtId="0" fontId="20" fillId="0" borderId="0" xfId="12" applyFont="1" applyFill="1" applyBorder="1"/>
    <xf numFmtId="0" fontId="29" fillId="0" borderId="0" xfId="12" applyFont="1" applyFill="1" applyBorder="1" applyAlignment="1">
      <alignment horizontal="left"/>
    </xf>
    <xf numFmtId="0" fontId="16" fillId="0" borderId="0" xfId="12" applyFont="1" applyFill="1" applyAlignment="1">
      <alignment horizontal="left" wrapText="1"/>
    </xf>
    <xf numFmtId="0" fontId="30" fillId="0" borderId="0" xfId="12" applyFont="1" applyFill="1"/>
    <xf numFmtId="0" fontId="18" fillId="0" borderId="0" xfId="12" applyFont="1"/>
    <xf numFmtId="0" fontId="18" fillId="0" borderId="0" xfId="12" applyFont="1" applyAlignment="1">
      <alignment wrapText="1"/>
    </xf>
    <xf numFmtId="0" fontId="0" fillId="0" borderId="0" xfId="0"/>
    <xf numFmtId="0" fontId="0" fillId="0" borderId="0" xfId="0" applyAlignment="1">
      <alignment vertical="center"/>
    </xf>
    <xf numFmtId="164" fontId="16" fillId="0" borderId="0" xfId="1" applyFont="1" applyBorder="1"/>
    <xf numFmtId="0" fontId="31" fillId="4" borderId="10" xfId="12" applyFont="1" applyFill="1" applyBorder="1"/>
    <xf numFmtId="0" fontId="0" fillId="0" borderId="8" xfId="0" applyBorder="1" applyAlignment="1">
      <alignment horizontal="left" indent="2"/>
    </xf>
    <xf numFmtId="167" fontId="16" fillId="0" borderId="0" xfId="11" applyNumberFormat="1" applyFont="1" applyBorder="1"/>
    <xf numFmtId="167" fontId="16" fillId="0" borderId="0" xfId="12" applyNumberFormat="1" applyFont="1" applyBorder="1"/>
    <xf numFmtId="167" fontId="17" fillId="0" borderId="1" xfId="11" applyNumberFormat="1" applyFont="1" applyBorder="1" applyAlignment="1">
      <alignment horizontal="center" vertical="center" wrapText="1"/>
    </xf>
    <xf numFmtId="167" fontId="16" fillId="0" borderId="8" xfId="11" applyNumberFormat="1" applyFont="1" applyBorder="1"/>
    <xf numFmtId="167" fontId="16" fillId="0" borderId="5" xfId="12" applyNumberFormat="1" applyFont="1" applyBorder="1"/>
    <xf numFmtId="167" fontId="16" fillId="0" borderId="4" xfId="12" applyNumberFormat="1" applyFont="1" applyBorder="1"/>
    <xf numFmtId="167" fontId="10" fillId="0" borderId="8" xfId="11" applyNumberFormat="1" applyFont="1" applyBorder="1"/>
    <xf numFmtId="167" fontId="10" fillId="0" borderId="5" xfId="11" applyNumberFormat="1" applyFont="1" applyBorder="1"/>
    <xf numFmtId="167" fontId="17" fillId="0" borderId="8" xfId="11" applyNumberFormat="1" applyFont="1" applyBorder="1"/>
    <xf numFmtId="167" fontId="17" fillId="0" borderId="5" xfId="11" applyNumberFormat="1" applyFont="1" applyBorder="1"/>
    <xf numFmtId="167" fontId="16" fillId="0" borderId="5" xfId="11" applyNumberFormat="1" applyFont="1" applyBorder="1"/>
    <xf numFmtId="167" fontId="10" fillId="0" borderId="8" xfId="11" applyNumberFormat="1" applyFont="1" applyBorder="1" applyAlignment="1">
      <alignment vertical="center"/>
    </xf>
    <xf numFmtId="167" fontId="10" fillId="0" borderId="5" xfId="11" applyNumberFormat="1" applyFont="1" applyBorder="1" applyAlignment="1">
      <alignment vertical="center"/>
    </xf>
    <xf numFmtId="167" fontId="16" fillId="0" borderId="8" xfId="11" applyNumberFormat="1" applyFont="1" applyBorder="1" applyAlignment="1">
      <alignment vertical="center"/>
    </xf>
    <xf numFmtId="167" fontId="16" fillId="0" borderId="5" xfId="11" applyNumberFormat="1" applyFont="1" applyBorder="1" applyAlignment="1">
      <alignment vertical="center"/>
    </xf>
    <xf numFmtId="167" fontId="16" fillId="0" borderId="15" xfId="11" applyNumberFormat="1" applyFont="1" applyBorder="1"/>
    <xf numFmtId="167" fontId="16" fillId="0" borderId="5" xfId="12" applyNumberFormat="1" applyFont="1" applyFill="1" applyBorder="1"/>
    <xf numFmtId="167" fontId="16" fillId="0" borderId="18" xfId="12" applyNumberFormat="1" applyFont="1" applyFill="1" applyBorder="1"/>
    <xf numFmtId="167" fontId="16" fillId="0" borderId="18" xfId="12" applyNumberFormat="1" applyFont="1" applyBorder="1"/>
    <xf numFmtId="167" fontId="16" fillId="0" borderId="5" xfId="11" applyNumberFormat="1" applyFont="1" applyFill="1" applyBorder="1"/>
    <xf numFmtId="167" fontId="10" fillId="0" borderId="8" xfId="11" applyNumberFormat="1" applyFont="1" applyFill="1" applyBorder="1"/>
    <xf numFmtId="167" fontId="10" fillId="0" borderId="5" xfId="11" applyNumberFormat="1" applyFont="1" applyFill="1" applyBorder="1"/>
    <xf numFmtId="167" fontId="17" fillId="0" borderId="5" xfId="11" applyNumberFormat="1" applyFont="1" applyFill="1" applyBorder="1"/>
    <xf numFmtId="167" fontId="16" fillId="0" borderId="5" xfId="11" applyNumberFormat="1" applyFont="1" applyFill="1" applyBorder="1" applyAlignment="1">
      <alignment horizontal="right"/>
    </xf>
    <xf numFmtId="167" fontId="17" fillId="0" borderId="5" xfId="11" applyNumberFormat="1" applyFont="1" applyFill="1" applyBorder="1" applyAlignment="1">
      <alignment horizontal="right"/>
    </xf>
    <xf numFmtId="167" fontId="27" fillId="0" borderId="8" xfId="11" applyNumberFormat="1" applyFont="1" applyFill="1" applyBorder="1" applyAlignment="1"/>
    <xf numFmtId="167" fontId="27" fillId="0" borderId="5" xfId="12" applyNumberFormat="1" applyFont="1" applyFill="1" applyBorder="1" applyAlignment="1">
      <alignment horizontal="right"/>
    </xf>
    <xf numFmtId="167" fontId="17" fillId="0" borderId="8" xfId="11" applyNumberFormat="1" applyFont="1" applyBorder="1" applyAlignment="1">
      <alignment vertical="center"/>
    </xf>
    <xf numFmtId="167" fontId="17" fillId="0" borderId="5" xfId="11" applyNumberFormat="1" applyFont="1" applyFill="1" applyBorder="1" applyAlignment="1">
      <alignment horizontal="right" vertical="center"/>
    </xf>
    <xf numFmtId="167" fontId="16" fillId="0" borderId="0" xfId="12" applyNumberFormat="1" applyFont="1" applyFill="1"/>
    <xf numFmtId="167" fontId="17" fillId="0" borderId="5" xfId="12" applyNumberFormat="1" applyFont="1" applyBorder="1"/>
    <xf numFmtId="167" fontId="16" fillId="0" borderId="9" xfId="12" applyNumberFormat="1" applyFont="1" applyBorder="1"/>
    <xf numFmtId="167" fontId="19" fillId="0" borderId="8" xfId="11" applyNumberFormat="1" applyFont="1" applyBorder="1"/>
    <xf numFmtId="167" fontId="16" fillId="0" borderId="0" xfId="11" applyNumberFormat="1" applyFont="1"/>
    <xf numFmtId="167" fontId="16" fillId="0" borderId="0" xfId="12" applyNumberFormat="1" applyFont="1"/>
    <xf numFmtId="167" fontId="16" fillId="0" borderId="0" xfId="11" applyNumberFormat="1" applyFont="1" applyFill="1"/>
    <xf numFmtId="167" fontId="16" fillId="0" borderId="0" xfId="12" applyNumberFormat="1" applyFont="1" applyFill="1" applyBorder="1"/>
    <xf numFmtId="0" fontId="12" fillId="0" borderId="0" xfId="0" applyFont="1" applyFill="1" applyBorder="1"/>
    <xf numFmtId="0" fontId="0" fillId="0" borderId="0" xfId="0" applyBorder="1"/>
    <xf numFmtId="167" fontId="16" fillId="0" borderId="9" xfId="12" applyNumberFormat="1" applyFont="1" applyFill="1" applyBorder="1"/>
    <xf numFmtId="164" fontId="7" fillId="0" borderId="0" xfId="1" applyFont="1"/>
    <xf numFmtId="0" fontId="7" fillId="0" borderId="0" xfId="12" applyFont="1"/>
    <xf numFmtId="0" fontId="7" fillId="0" borderId="0" xfId="12" applyFont="1" applyFill="1" applyBorder="1"/>
    <xf numFmtId="165" fontId="2" fillId="0" borderId="3" xfId="0" applyNumberFormat="1" applyFont="1" applyBorder="1"/>
    <xf numFmtId="165" fontId="0" fillId="0" borderId="0" xfId="0" applyNumberFormat="1" applyBorder="1"/>
    <xf numFmtId="0" fontId="2" fillId="5" borderId="4" xfId="0" applyFont="1" applyFill="1" applyBorder="1" applyAlignment="1">
      <alignment horizontal="left"/>
    </xf>
    <xf numFmtId="165" fontId="2" fillId="5" borderId="4" xfId="0" applyNumberFormat="1" applyFont="1" applyFill="1" applyBorder="1"/>
    <xf numFmtId="0" fontId="14" fillId="2" borderId="6" xfId="0" applyFont="1" applyFill="1" applyBorder="1" applyAlignment="1">
      <alignment horizontal="center" vertical="center" wrapText="1"/>
    </xf>
    <xf numFmtId="164" fontId="14" fillId="2" borderId="6" xfId="0" applyNumberFormat="1" applyFont="1" applyFill="1" applyBorder="1" applyAlignment="1">
      <alignment horizontal="center" vertical="center" wrapText="1"/>
    </xf>
    <xf numFmtId="0" fontId="0" fillId="0" borderId="8" xfId="0" applyFill="1" applyBorder="1" applyAlignment="1">
      <alignment horizontal="left" indent="2"/>
    </xf>
    <xf numFmtId="165" fontId="0" fillId="0" borderId="0" xfId="0" applyNumberFormat="1" applyFill="1" applyBorder="1"/>
    <xf numFmtId="165" fontId="2" fillId="0" borderId="3" xfId="0" applyNumberFormat="1" applyFont="1" applyFill="1" applyBorder="1"/>
    <xf numFmtId="0" fontId="2" fillId="0" borderId="2" xfId="0" applyFont="1" applyFill="1" applyBorder="1" applyAlignment="1">
      <alignment horizontal="left" vertical="center" wrapText="1"/>
    </xf>
    <xf numFmtId="165" fontId="2" fillId="0" borderId="3" xfId="0" applyNumberFormat="1" applyFont="1" applyFill="1" applyBorder="1" applyAlignment="1">
      <alignment vertical="center"/>
    </xf>
    <xf numFmtId="0" fontId="22" fillId="0" borderId="8" xfId="12" applyFont="1" applyBorder="1"/>
    <xf numFmtId="0" fontId="22" fillId="0" borderId="0" xfId="12" applyFont="1" applyFill="1" applyBorder="1"/>
    <xf numFmtId="0" fontId="7" fillId="0" borderId="9" xfId="12" applyFont="1" applyFill="1" applyBorder="1"/>
    <xf numFmtId="0" fontId="7" fillId="0" borderId="8" xfId="12" applyFont="1" applyBorder="1"/>
    <xf numFmtId="0" fontId="7" fillId="0" borderId="8" xfId="12" applyFont="1" applyFill="1" applyBorder="1"/>
    <xf numFmtId="0" fontId="31" fillId="4" borderId="12" xfId="12" applyFont="1" applyFill="1" applyBorder="1"/>
    <xf numFmtId="164" fontId="22" fillId="0" borderId="0" xfId="1" applyFont="1"/>
    <xf numFmtId="0" fontId="22" fillId="0" borderId="8" xfId="12" applyFont="1" applyFill="1" applyBorder="1"/>
    <xf numFmtId="0" fontId="7" fillId="0" borderId="0" xfId="12" applyFont="1" applyAlignment="1">
      <alignment vertical="center"/>
    </xf>
    <xf numFmtId="0" fontId="22" fillId="0" borderId="8" xfId="12" applyFont="1" applyFill="1" applyBorder="1" applyAlignment="1">
      <alignment vertical="center"/>
    </xf>
    <xf numFmtId="0" fontId="22" fillId="0" borderId="0" xfId="12" applyFont="1" applyFill="1" applyBorder="1" applyAlignment="1">
      <alignment vertical="center" wrapText="1"/>
    </xf>
    <xf numFmtId="164" fontId="22" fillId="0" borderId="5" xfId="1" applyFont="1" applyFill="1" applyBorder="1"/>
    <xf numFmtId="164" fontId="7" fillId="0" borderId="5" xfId="1" applyFont="1" applyBorder="1"/>
    <xf numFmtId="164" fontId="22" fillId="0" borderId="5" xfId="1" applyFont="1" applyFill="1" applyBorder="1" applyAlignment="1">
      <alignment vertical="center"/>
    </xf>
    <xf numFmtId="164" fontId="7" fillId="0" borderId="5" xfId="1" applyFont="1" applyFill="1" applyBorder="1"/>
    <xf numFmtId="0" fontId="22" fillId="0" borderId="8" xfId="12" applyFont="1" applyBorder="1" applyAlignment="1">
      <alignment vertical="center" wrapText="1"/>
    </xf>
    <xf numFmtId="164" fontId="22" fillId="0" borderId="5" xfId="1" applyFont="1" applyFill="1" applyBorder="1" applyAlignment="1">
      <alignment vertical="center" wrapText="1"/>
    </xf>
    <xf numFmtId="0" fontId="22" fillId="6" borderId="19" xfId="12" applyFont="1" applyFill="1" applyBorder="1"/>
    <xf numFmtId="0" fontId="22" fillId="6" borderId="10" xfId="12" applyFont="1" applyFill="1" applyBorder="1"/>
    <xf numFmtId="164" fontId="22" fillId="6" borderId="21" xfId="1" applyFont="1" applyFill="1" applyBorder="1"/>
    <xf numFmtId="0" fontId="23" fillId="0" borderId="8" xfId="12" applyFont="1" applyBorder="1"/>
    <xf numFmtId="0" fontId="23" fillId="0" borderId="0" xfId="12" applyFont="1" applyFill="1" applyBorder="1"/>
    <xf numFmtId="164" fontId="23" fillId="0" borderId="0" xfId="1" applyFont="1" applyFill="1" applyBorder="1"/>
    <xf numFmtId="4" fontId="23" fillId="0" borderId="9" xfId="12" applyNumberFormat="1" applyFont="1" applyFill="1" applyBorder="1"/>
    <xf numFmtId="164" fontId="23" fillId="0" borderId="5" xfId="1" applyFont="1" applyFill="1" applyBorder="1"/>
    <xf numFmtId="0" fontId="22" fillId="7" borderId="2" xfId="12" applyFont="1" applyFill="1" applyBorder="1"/>
    <xf numFmtId="0" fontId="22" fillId="7" borderId="3" xfId="12" applyFont="1" applyFill="1" applyBorder="1"/>
    <xf numFmtId="164" fontId="22" fillId="7" borderId="1" xfId="1" applyFont="1" applyFill="1" applyBorder="1"/>
    <xf numFmtId="0" fontId="12" fillId="0" borderId="0" xfId="0" applyFont="1" applyBorder="1"/>
    <xf numFmtId="164" fontId="11" fillId="6" borderId="0" xfId="1" applyFont="1" applyFill="1" applyBorder="1" applyAlignment="1">
      <alignment horizontal="center" vertical="center"/>
    </xf>
    <xf numFmtId="0" fontId="14" fillId="2" borderId="0" xfId="0" applyFont="1" applyFill="1" applyBorder="1" applyAlignment="1">
      <alignment horizontal="left" vertical="center"/>
    </xf>
    <xf numFmtId="164" fontId="14" fillId="2" borderId="0" xfId="1" applyFont="1" applyFill="1" applyBorder="1" applyAlignment="1">
      <alignment horizontal="center" vertical="center"/>
    </xf>
    <xf numFmtId="0" fontId="11" fillId="6" borderId="8" xfId="0" applyFont="1" applyFill="1" applyBorder="1" applyAlignment="1">
      <alignment horizontal="center" vertical="center"/>
    </xf>
    <xf numFmtId="0" fontId="14" fillId="2" borderId="8" xfId="0" applyFont="1" applyFill="1" applyBorder="1" applyAlignment="1">
      <alignment horizontal="left" vertical="center"/>
    </xf>
    <xf numFmtId="164" fontId="11" fillId="6" borderId="0" xfId="0" applyNumberFormat="1" applyFont="1" applyFill="1" applyBorder="1" applyAlignment="1">
      <alignment horizontal="center" vertical="center"/>
    </xf>
    <xf numFmtId="0" fontId="14" fillId="2" borderId="23" xfId="0" applyFont="1" applyFill="1" applyBorder="1" applyAlignment="1">
      <alignment horizontal="center" vertical="center"/>
    </xf>
    <xf numFmtId="0" fontId="14" fillId="2" borderId="22" xfId="0" applyFont="1" applyFill="1" applyBorder="1" applyAlignment="1">
      <alignment horizontal="center" vertical="center" wrapText="1"/>
    </xf>
    <xf numFmtId="164" fontId="14" fillId="2" borderId="22" xfId="1" applyFont="1" applyFill="1" applyBorder="1" applyAlignment="1">
      <alignment horizontal="center" vertical="center"/>
    </xf>
    <xf numFmtId="164" fontId="14" fillId="2" borderId="24" xfId="1" applyFont="1" applyFill="1" applyBorder="1" applyAlignment="1">
      <alignment horizontal="center" vertical="center" wrapText="1"/>
    </xf>
    <xf numFmtId="164" fontId="16" fillId="0" borderId="8" xfId="1" applyFont="1" applyBorder="1"/>
    <xf numFmtId="164" fontId="16" fillId="0" borderId="0" xfId="1" applyFont="1"/>
    <xf numFmtId="164" fontId="16" fillId="0" borderId="0" xfId="1" applyFont="1" applyFill="1"/>
    <xf numFmtId="0" fontId="21" fillId="0" borderId="0" xfId="14" applyFont="1" applyAlignment="1">
      <alignment horizontal="center"/>
    </xf>
    <xf numFmtId="164" fontId="14" fillId="2" borderId="22" xfId="1" applyFont="1" applyFill="1" applyBorder="1" applyAlignment="1">
      <alignment horizontal="center" vertical="center" wrapText="1"/>
    </xf>
    <xf numFmtId="10" fontId="11" fillId="6" borderId="9" xfId="2" applyNumberFormat="1" applyFont="1" applyFill="1" applyBorder="1" applyAlignment="1">
      <alignment horizontal="center" vertical="center"/>
    </xf>
    <xf numFmtId="10" fontId="9" fillId="0" borderId="9" xfId="2" applyNumberFormat="1" applyFont="1" applyFill="1" applyBorder="1" applyAlignment="1">
      <alignment horizontal="center"/>
    </xf>
    <xf numFmtId="10" fontId="9" fillId="0" borderId="9" xfId="1" applyNumberFormat="1" applyFont="1" applyFill="1" applyBorder="1"/>
    <xf numFmtId="10" fontId="14" fillId="2" borderId="9" xfId="0" applyNumberFormat="1" applyFont="1" applyFill="1" applyBorder="1" applyAlignment="1">
      <alignment horizontal="left" vertical="center"/>
    </xf>
    <xf numFmtId="0" fontId="2" fillId="0" borderId="2" xfId="0" applyFont="1" applyFill="1" applyBorder="1" applyAlignment="1"/>
    <xf numFmtId="10" fontId="3" fillId="5" borderId="4" xfId="2" applyNumberFormat="1" applyFont="1" applyFill="1" applyBorder="1" applyAlignment="1">
      <alignment horizontal="right" vertical="center" wrapText="1"/>
    </xf>
    <xf numFmtId="10" fontId="2" fillId="0" borderId="7" xfId="2" applyNumberFormat="1" applyFont="1" applyFill="1" applyBorder="1" applyAlignment="1">
      <alignment horizontal="right" vertical="center"/>
    </xf>
    <xf numFmtId="10" fontId="0" fillId="0" borderId="9" xfId="2" applyNumberFormat="1" applyFont="1" applyFill="1" applyBorder="1" applyAlignment="1">
      <alignment horizontal="right"/>
    </xf>
    <xf numFmtId="0" fontId="0" fillId="0" borderId="0" xfId="0" applyAlignment="1">
      <alignment horizontal="right"/>
    </xf>
    <xf numFmtId="10" fontId="1" fillId="0" borderId="9" xfId="2" applyNumberFormat="1" applyFont="1" applyFill="1" applyBorder="1" applyAlignment="1">
      <alignment horizontal="right" vertical="center"/>
    </xf>
    <xf numFmtId="10" fontId="2" fillId="0" borderId="7" xfId="2" applyNumberFormat="1" applyFont="1" applyFill="1" applyBorder="1" applyAlignment="1">
      <alignment horizontal="right"/>
    </xf>
    <xf numFmtId="10" fontId="14" fillId="2" borderId="6" xfId="2" applyNumberFormat="1" applyFont="1" applyFill="1" applyBorder="1" applyAlignment="1">
      <alignment horizontal="right" vertical="center" wrapText="1"/>
    </xf>
    <xf numFmtId="0" fontId="2" fillId="0" borderId="2" xfId="0" applyFont="1" applyBorder="1" applyAlignment="1"/>
    <xf numFmtId="10" fontId="7" fillId="0" borderId="9" xfId="2" applyNumberFormat="1" applyFont="1" applyFill="1" applyBorder="1"/>
    <xf numFmtId="10" fontId="22" fillId="0" borderId="9" xfId="2" applyNumberFormat="1" applyFont="1" applyFill="1" applyBorder="1"/>
    <xf numFmtId="10" fontId="22" fillId="7" borderId="7" xfId="2" applyNumberFormat="1" applyFont="1" applyFill="1" applyBorder="1"/>
    <xf numFmtId="164" fontId="22" fillId="0" borderId="9" xfId="1" applyFont="1" applyFill="1" applyBorder="1"/>
    <xf numFmtId="10" fontId="22" fillId="6" borderId="20" xfId="2" applyNumberFormat="1" applyFont="1" applyFill="1" applyBorder="1"/>
    <xf numFmtId="10" fontId="23" fillId="0" borderId="9" xfId="2" applyNumberFormat="1" applyFont="1" applyFill="1" applyBorder="1"/>
    <xf numFmtId="10" fontId="22" fillId="0" borderId="9" xfId="2" applyNumberFormat="1" applyFont="1" applyBorder="1" applyAlignment="1">
      <alignment vertical="center"/>
    </xf>
    <xf numFmtId="0" fontId="7" fillId="0" borderId="8" xfId="12" applyFont="1" applyBorder="1" applyAlignment="1">
      <alignment vertical="center"/>
    </xf>
    <xf numFmtId="0" fontId="0" fillId="0" borderId="2" xfId="0" applyBorder="1" applyAlignment="1">
      <alignment horizontal="left" indent="2"/>
    </xf>
    <xf numFmtId="0" fontId="35" fillId="0" borderId="0" xfId="0" applyFont="1" applyFill="1" applyBorder="1"/>
    <xf numFmtId="164" fontId="35" fillId="0" borderId="0" xfId="1" applyFont="1" applyFill="1" applyBorder="1"/>
    <xf numFmtId="165" fontId="35" fillId="0" borderId="0" xfId="125" applyFont="1" applyFill="1" applyBorder="1"/>
    <xf numFmtId="0" fontId="37" fillId="8" borderId="23" xfId="0" applyFont="1" applyFill="1" applyBorder="1" applyAlignment="1">
      <alignment horizontal="center" vertical="center"/>
    </xf>
    <xf numFmtId="164" fontId="37" fillId="8" borderId="22" xfId="1" applyFont="1" applyFill="1" applyBorder="1" applyAlignment="1">
      <alignment vertical="center" wrapText="1"/>
    </xf>
    <xf numFmtId="164" fontId="37" fillId="8" borderId="22" xfId="1" applyFont="1" applyFill="1" applyBorder="1" applyAlignment="1">
      <alignment horizontal="center" vertical="center" wrapText="1"/>
    </xf>
    <xf numFmtId="0" fontId="35" fillId="0" borderId="1" xfId="0" applyFont="1" applyFill="1" applyBorder="1" applyAlignment="1">
      <alignment horizontal="left" vertical="center" wrapText="1"/>
    </xf>
    <xf numFmtId="0" fontId="35" fillId="0" borderId="1" xfId="0" applyFont="1" applyFill="1" applyBorder="1" applyAlignment="1">
      <alignment vertical="center" wrapText="1"/>
    </xf>
    <xf numFmtId="164" fontId="4" fillId="0" borderId="1" xfId="1" applyFont="1" applyFill="1" applyBorder="1" applyAlignment="1">
      <alignment vertical="center"/>
    </xf>
    <xf numFmtId="165" fontId="35" fillId="0" borderId="0" xfId="125" applyFont="1" applyFill="1" applyBorder="1" applyAlignment="1">
      <alignment horizontal="right" vertical="center"/>
    </xf>
    <xf numFmtId="164" fontId="35" fillId="0" borderId="0" xfId="1" applyFont="1" applyFill="1" applyBorder="1" applyAlignment="1">
      <alignment horizontal="right" vertical="center"/>
    </xf>
    <xf numFmtId="165" fontId="38" fillId="0" borderId="0" xfId="125" applyFont="1" applyFill="1" applyBorder="1" applyAlignment="1">
      <alignment horizontal="right" vertical="center" wrapText="1"/>
    </xf>
    <xf numFmtId="0" fontId="35" fillId="0" borderId="0" xfId="0" applyFont="1" applyFill="1" applyBorder="1" applyAlignment="1">
      <alignment horizontal="right" vertical="center"/>
    </xf>
    <xf numFmtId="164" fontId="4" fillId="0" borderId="1" xfId="1" applyFont="1" applyFill="1" applyBorder="1"/>
    <xf numFmtId="0" fontId="36" fillId="0" borderId="1" xfId="0" applyFont="1" applyFill="1" applyBorder="1" applyAlignment="1">
      <alignment horizontal="left" vertical="center" wrapText="1"/>
    </xf>
    <xf numFmtId="164" fontId="39" fillId="0" borderId="1" xfId="1" applyFont="1" applyBorder="1"/>
    <xf numFmtId="165" fontId="38" fillId="0" borderId="0" xfId="125" applyFont="1" applyFill="1" applyBorder="1" applyAlignment="1">
      <alignment vertical="center" wrapText="1"/>
    </xf>
    <xf numFmtId="167" fontId="16" fillId="0" borderId="0" xfId="1" applyNumberFormat="1" applyFont="1" applyBorder="1"/>
    <xf numFmtId="167" fontId="17" fillId="0" borderId="1" xfId="1" applyNumberFormat="1" applyFont="1" applyBorder="1" applyAlignment="1">
      <alignment horizontal="center" vertical="center" wrapText="1"/>
    </xf>
    <xf numFmtId="167" fontId="16" fillId="0" borderId="8" xfId="1" applyNumberFormat="1" applyFont="1" applyBorder="1"/>
    <xf numFmtId="167" fontId="16" fillId="0" borderId="5" xfId="1" applyNumberFormat="1" applyFont="1" applyBorder="1"/>
    <xf numFmtId="167" fontId="16" fillId="0" borderId="9" xfId="1" applyNumberFormat="1" applyFont="1" applyBorder="1"/>
    <xf numFmtId="167" fontId="17" fillId="0" borderId="5" xfId="1" applyNumberFormat="1" applyFont="1" applyBorder="1"/>
    <xf numFmtId="167" fontId="17" fillId="0" borderId="9" xfId="1" applyNumberFormat="1" applyFont="1" applyBorder="1"/>
    <xf numFmtId="164" fontId="17" fillId="0" borderId="0" xfId="1" applyFont="1"/>
    <xf numFmtId="167" fontId="10" fillId="0" borderId="8" xfId="1" applyNumberFormat="1" applyFont="1" applyBorder="1"/>
    <xf numFmtId="167" fontId="10" fillId="0" borderId="5" xfId="1" applyNumberFormat="1" applyFont="1" applyBorder="1"/>
    <xf numFmtId="167" fontId="10" fillId="0" borderId="9" xfId="1" applyNumberFormat="1" applyFont="1" applyBorder="1"/>
    <xf numFmtId="167" fontId="10" fillId="0" borderId="8" xfId="1" applyNumberFormat="1" applyFont="1" applyBorder="1" applyAlignment="1">
      <alignment vertical="center"/>
    </xf>
    <xf numFmtId="167" fontId="10" fillId="0" borderId="5" xfId="1" applyNumberFormat="1" applyFont="1" applyBorder="1" applyAlignment="1">
      <alignment vertical="center"/>
    </xf>
    <xf numFmtId="167" fontId="10" fillId="0" borderId="9" xfId="1" applyNumberFormat="1" applyFont="1" applyBorder="1" applyAlignment="1">
      <alignment vertical="center"/>
    </xf>
    <xf numFmtId="164" fontId="16" fillId="0" borderId="0" xfId="1" applyFont="1" applyAlignment="1">
      <alignment vertical="center"/>
    </xf>
    <xf numFmtId="167" fontId="16" fillId="0" borderId="8" xfId="1" applyNumberFormat="1" applyFont="1" applyBorder="1" applyAlignment="1">
      <alignment vertical="center"/>
    </xf>
    <xf numFmtId="167" fontId="16" fillId="0" borderId="5" xfId="1" applyNumberFormat="1" applyFont="1" applyBorder="1" applyAlignment="1">
      <alignment vertical="center"/>
    </xf>
    <xf numFmtId="167" fontId="16" fillId="0" borderId="9" xfId="1" applyNumberFormat="1" applyFont="1" applyBorder="1" applyAlignment="1">
      <alignment vertical="center"/>
    </xf>
    <xf numFmtId="167" fontId="16" fillId="0" borderId="5" xfId="1" applyNumberFormat="1" applyFont="1" applyFill="1" applyBorder="1"/>
    <xf numFmtId="167" fontId="16" fillId="0" borderId="15" xfId="1" applyNumberFormat="1" applyFont="1" applyBorder="1"/>
    <xf numFmtId="167" fontId="16" fillId="0" borderId="18" xfId="1" applyNumberFormat="1" applyFont="1" applyFill="1" applyBorder="1"/>
    <xf numFmtId="167" fontId="16" fillId="0" borderId="18" xfId="1" applyNumberFormat="1" applyFont="1" applyBorder="1"/>
    <xf numFmtId="167" fontId="16" fillId="0" borderId="17" xfId="1" applyNumberFormat="1" applyFont="1" applyBorder="1"/>
    <xf numFmtId="167" fontId="17" fillId="0" borderId="8" xfId="1" applyNumberFormat="1" applyFont="1" applyBorder="1"/>
    <xf numFmtId="167" fontId="10" fillId="0" borderId="8" xfId="1" applyNumberFormat="1" applyFont="1" applyFill="1" applyBorder="1"/>
    <xf numFmtId="167" fontId="10" fillId="0" borderId="5" xfId="1" applyNumberFormat="1" applyFont="1" applyFill="1" applyBorder="1"/>
    <xf numFmtId="167" fontId="10" fillId="0" borderId="9" xfId="1" applyNumberFormat="1" applyFont="1" applyFill="1" applyBorder="1"/>
    <xf numFmtId="167" fontId="17" fillId="0" borderId="5" xfId="1" applyNumberFormat="1" applyFont="1" applyFill="1" applyBorder="1" applyAlignment="1">
      <alignment horizontal="right"/>
    </xf>
    <xf numFmtId="167" fontId="17" fillId="0" borderId="9" xfId="1" applyNumberFormat="1" applyFont="1" applyFill="1" applyBorder="1" applyAlignment="1">
      <alignment horizontal="right"/>
    </xf>
    <xf numFmtId="0" fontId="16" fillId="0" borderId="0" xfId="12" applyFont="1" applyFill="1" applyBorder="1" applyAlignment="1">
      <alignment vertical="center" wrapText="1"/>
    </xf>
    <xf numFmtId="167" fontId="27" fillId="3" borderId="8" xfId="1" applyNumberFormat="1" applyFont="1" applyFill="1" applyBorder="1" applyAlignment="1"/>
    <xf numFmtId="167" fontId="27" fillId="0" borderId="5" xfId="1" applyNumberFormat="1" applyFont="1" applyFill="1" applyBorder="1" applyAlignment="1">
      <alignment horizontal="right"/>
    </xf>
    <xf numFmtId="167" fontId="16" fillId="0" borderId="5" xfId="1" applyNumberFormat="1" applyFont="1" applyFill="1" applyBorder="1" applyAlignment="1">
      <alignment horizontal="right"/>
    </xf>
    <xf numFmtId="167" fontId="16" fillId="0" borderId="9" xfId="1" applyNumberFormat="1" applyFont="1" applyFill="1" applyBorder="1" applyAlignment="1">
      <alignment horizontal="right"/>
    </xf>
    <xf numFmtId="167" fontId="17" fillId="0" borderId="8" xfId="1" applyNumberFormat="1" applyFont="1" applyBorder="1" applyAlignment="1">
      <alignment vertical="center"/>
    </xf>
    <xf numFmtId="167" fontId="17" fillId="0" borderId="5" xfId="1" applyNumberFormat="1" applyFont="1" applyFill="1" applyBorder="1" applyAlignment="1">
      <alignment horizontal="right" vertical="center"/>
    </xf>
    <xf numFmtId="167" fontId="17" fillId="0" borderId="9" xfId="1" applyNumberFormat="1" applyFont="1" applyFill="1" applyBorder="1" applyAlignment="1">
      <alignment horizontal="right" vertical="center"/>
    </xf>
    <xf numFmtId="0" fontId="16" fillId="0" borderId="9" xfId="12" applyFont="1" applyFill="1" applyBorder="1"/>
    <xf numFmtId="167" fontId="19" fillId="0" borderId="8" xfId="1" applyNumberFormat="1" applyFont="1" applyBorder="1"/>
    <xf numFmtId="167" fontId="10" fillId="0" borderId="25" xfId="1" applyNumberFormat="1" applyFont="1" applyBorder="1" applyAlignment="1">
      <alignment vertical="center"/>
    </xf>
    <xf numFmtId="167" fontId="16" fillId="0" borderId="0" xfId="1" applyNumberFormat="1" applyFont="1"/>
    <xf numFmtId="167" fontId="16" fillId="0" borderId="0" xfId="1" applyNumberFormat="1" applyFont="1" applyFill="1"/>
    <xf numFmtId="164" fontId="22" fillId="6" borderId="21" xfId="1" applyFont="1" applyFill="1" applyBorder="1" applyAlignment="1"/>
    <xf numFmtId="164" fontId="23" fillId="0" borderId="5" xfId="1" applyFont="1" applyFill="1" applyBorder="1" applyAlignment="1"/>
    <xf numFmtId="164" fontId="22" fillId="7" borderId="1" xfId="1" applyFont="1" applyFill="1" applyBorder="1" applyAlignment="1"/>
    <xf numFmtId="164" fontId="22" fillId="0" borderId="5" xfId="1" applyFont="1" applyFill="1" applyBorder="1" applyAlignment="1"/>
    <xf numFmtId="164" fontId="7" fillId="0" borderId="5" xfId="1" applyFont="1" applyFill="1" applyBorder="1" applyAlignment="1"/>
    <xf numFmtId="10" fontId="31" fillId="4" borderId="25" xfId="2" applyNumberFormat="1" applyFont="1" applyFill="1" applyBorder="1"/>
    <xf numFmtId="0" fontId="14" fillId="9" borderId="23" xfId="0" applyFont="1" applyFill="1" applyBorder="1" applyAlignment="1">
      <alignment horizontal="center" vertical="center" wrapText="1"/>
    </xf>
    <xf numFmtId="0" fontId="14" fillId="9" borderId="22" xfId="0" applyFont="1" applyFill="1" applyBorder="1" applyAlignment="1">
      <alignment horizontal="center" vertical="center" wrapText="1"/>
    </xf>
    <xf numFmtId="0" fontId="14" fillId="9" borderId="24" xfId="0" applyFont="1" applyFill="1" applyBorder="1" applyAlignment="1">
      <alignment horizontal="center" vertical="center" wrapText="1"/>
    </xf>
    <xf numFmtId="0" fontId="13" fillId="0" borderId="1" xfId="0" applyFont="1" applyFill="1" applyBorder="1"/>
    <xf numFmtId="164" fontId="13" fillId="0" borderId="1" xfId="0" applyNumberFormat="1" applyFont="1" applyBorder="1"/>
    <xf numFmtId="9" fontId="13" fillId="0" borderId="1" xfId="2" applyFont="1" applyBorder="1" applyAlignment="1">
      <alignment horizontal="center"/>
    </xf>
    <xf numFmtId="164" fontId="12" fillId="0" borderId="1" xfId="0" applyNumberFormat="1" applyFont="1" applyBorder="1"/>
    <xf numFmtId="9" fontId="12" fillId="0" borderId="1" xfId="2" applyFont="1" applyBorder="1" applyAlignment="1">
      <alignment horizontal="center"/>
    </xf>
    <xf numFmtId="164" fontId="0" fillId="0" borderId="0" xfId="1" applyFont="1" applyFill="1" applyBorder="1"/>
    <xf numFmtId="164" fontId="2" fillId="0" borderId="0" xfId="1" applyNumberFormat="1" applyFont="1" applyFill="1" applyBorder="1"/>
    <xf numFmtId="164" fontId="22" fillId="0" borderId="9" xfId="1" applyFont="1" applyFill="1" applyBorder="1" applyAlignment="1">
      <alignment horizontal="center"/>
    </xf>
    <xf numFmtId="164" fontId="31" fillId="4" borderId="19" xfId="1" applyFont="1" applyFill="1" applyBorder="1"/>
    <xf numFmtId="164" fontId="23" fillId="0" borderId="9" xfId="1" applyFont="1" applyFill="1" applyBorder="1"/>
    <xf numFmtId="164" fontId="22" fillId="0" borderId="9" xfId="1" applyFont="1" applyFill="1" applyBorder="1" applyAlignment="1">
      <alignment vertical="center"/>
    </xf>
    <xf numFmtId="164" fontId="7" fillId="0" borderId="9" xfId="1" applyFont="1" applyFill="1" applyBorder="1"/>
    <xf numFmtId="164" fontId="31" fillId="4" borderId="21" xfId="1" applyFont="1" applyFill="1" applyBorder="1"/>
    <xf numFmtId="165" fontId="0" fillId="0" borderId="3" xfId="0" applyNumberFormat="1" applyFill="1" applyBorder="1"/>
    <xf numFmtId="10" fontId="0" fillId="0" borderId="7" xfId="2" applyNumberFormat="1" applyFont="1" applyFill="1" applyBorder="1" applyAlignment="1">
      <alignment horizontal="right"/>
    </xf>
    <xf numFmtId="0" fontId="8" fillId="0" borderId="0" xfId="0" applyFont="1" applyAlignment="1">
      <alignment horizontal="center" vertical="center"/>
    </xf>
    <xf numFmtId="0" fontId="13" fillId="0" borderId="0" xfId="0" applyFont="1"/>
    <xf numFmtId="0" fontId="14" fillId="2" borderId="2" xfId="0" applyFont="1" applyFill="1" applyBorder="1" applyAlignment="1">
      <alignment horizontal="center" vertical="center"/>
    </xf>
    <xf numFmtId="0" fontId="14" fillId="2" borderId="2" xfId="0" applyFont="1" applyFill="1" applyBorder="1" applyAlignment="1">
      <alignment horizontal="center" vertical="center" wrapText="1"/>
    </xf>
    <xf numFmtId="164" fontId="9" fillId="0" borderId="0" xfId="1" applyFont="1" applyFill="1" applyBorder="1"/>
    <xf numFmtId="0" fontId="0" fillId="0" borderId="9" xfId="0" applyBorder="1"/>
    <xf numFmtId="0" fontId="12" fillId="6" borderId="2" xfId="0" applyFont="1" applyFill="1" applyBorder="1"/>
    <xf numFmtId="164" fontId="12" fillId="6" borderId="2" xfId="0" applyNumberFormat="1" applyFont="1" applyFill="1" applyBorder="1"/>
    <xf numFmtId="164" fontId="12" fillId="6" borderId="1" xfId="1" applyFont="1" applyFill="1" applyBorder="1"/>
    <xf numFmtId="10" fontId="12" fillId="6" borderId="1" xfId="2" applyNumberFormat="1" applyFont="1" applyFill="1" applyBorder="1" applyAlignment="1">
      <alignment horizontal="center"/>
    </xf>
    <xf numFmtId="0" fontId="13" fillId="0" borderId="8" xfId="0" applyFont="1" applyBorder="1" applyAlignment="1">
      <alignment horizontal="left"/>
    </xf>
    <xf numFmtId="10" fontId="13" fillId="0" borderId="9" xfId="2" applyNumberFormat="1" applyFont="1" applyBorder="1" applyAlignment="1">
      <alignment horizontal="center"/>
    </xf>
    <xf numFmtId="0" fontId="0" fillId="0" borderId="0" xfId="0" applyFont="1"/>
    <xf numFmtId="164" fontId="0" fillId="0" borderId="0" xfId="0" applyNumberFormat="1" applyFill="1"/>
    <xf numFmtId="0" fontId="12" fillId="0" borderId="13" xfId="0" applyFont="1" applyBorder="1"/>
    <xf numFmtId="164" fontId="12" fillId="0" borderId="14" xfId="1" applyFont="1" applyFill="1" applyBorder="1"/>
    <xf numFmtId="164" fontId="9" fillId="0" borderId="14" xfId="1" applyFont="1" applyFill="1" applyBorder="1"/>
    <xf numFmtId="10" fontId="13" fillId="0" borderId="11" xfId="0" applyNumberFormat="1" applyFont="1" applyBorder="1"/>
    <xf numFmtId="164" fontId="12" fillId="6" borderId="2" xfId="1" applyFont="1" applyFill="1" applyBorder="1"/>
    <xf numFmtId="10" fontId="13" fillId="0" borderId="9" xfId="2" applyNumberFormat="1" applyFont="1" applyFill="1" applyBorder="1" applyAlignment="1">
      <alignment horizontal="center"/>
    </xf>
    <xf numFmtId="0" fontId="14" fillId="2" borderId="2" xfId="0" applyFont="1" applyFill="1" applyBorder="1" applyAlignment="1">
      <alignment horizontal="left" vertical="center"/>
    </xf>
    <xf numFmtId="164" fontId="14" fillId="2" borderId="2" xfId="0" applyNumberFormat="1" applyFont="1" applyFill="1" applyBorder="1" applyAlignment="1">
      <alignment horizontal="left" vertical="center"/>
    </xf>
    <xf numFmtId="164" fontId="14" fillId="2" borderId="1" xfId="1" applyFont="1" applyFill="1" applyBorder="1" applyAlignment="1">
      <alignment horizontal="center" vertical="center"/>
    </xf>
    <xf numFmtId="10" fontId="14" fillId="2" borderId="1" xfId="2" applyNumberFormat="1" applyFont="1" applyFill="1" applyBorder="1" applyAlignment="1">
      <alignment horizontal="center" vertical="center"/>
    </xf>
    <xf numFmtId="0" fontId="13" fillId="0" borderId="0" xfId="0" applyFont="1" applyFill="1" applyBorder="1"/>
    <xf numFmtId="9" fontId="0" fillId="0" borderId="0" xfId="2" applyFont="1" applyFill="1"/>
    <xf numFmtId="0" fontId="0" fillId="0" borderId="0" xfId="0" applyFill="1" applyAlignment="1">
      <alignment horizontal="left"/>
    </xf>
    <xf numFmtId="164" fontId="0" fillId="0" borderId="0" xfId="1" applyFont="1" applyFill="1"/>
    <xf numFmtId="164" fontId="22" fillId="0" borderId="0" xfId="1" applyFont="1" applyAlignment="1">
      <alignment horizontal="center"/>
    </xf>
    <xf numFmtId="164" fontId="23" fillId="0" borderId="8" xfId="1" applyFont="1" applyFill="1" applyBorder="1" applyAlignment="1">
      <alignment horizontal="center"/>
    </xf>
    <xf numFmtId="164" fontId="22" fillId="6" borderId="19" xfId="1" applyFont="1" applyFill="1" applyBorder="1" applyAlignment="1">
      <alignment horizontal="center"/>
    </xf>
    <xf numFmtId="164" fontId="22" fillId="7" borderId="2" xfId="1" applyFont="1" applyFill="1" applyBorder="1" applyAlignment="1">
      <alignment horizontal="center"/>
    </xf>
    <xf numFmtId="164" fontId="22" fillId="0" borderId="8" xfId="1" applyFont="1" applyFill="1" applyBorder="1" applyAlignment="1">
      <alignment horizontal="center" vertical="center" wrapText="1"/>
    </xf>
    <xf numFmtId="164" fontId="22" fillId="0" borderId="8" xfId="1" applyFont="1" applyFill="1" applyBorder="1" applyAlignment="1">
      <alignment horizontal="center"/>
    </xf>
    <xf numFmtId="164" fontId="7" fillId="0" borderId="8" xfId="1" applyFont="1" applyFill="1" applyBorder="1" applyAlignment="1">
      <alignment horizontal="center"/>
    </xf>
    <xf numFmtId="164" fontId="22" fillId="0" borderId="5" xfId="1" applyFont="1" applyFill="1" applyBorder="1" applyAlignment="1">
      <alignment horizontal="center"/>
    </xf>
    <xf numFmtId="164" fontId="7" fillId="0" borderId="5" xfId="1" applyFont="1" applyFill="1" applyBorder="1" applyAlignment="1">
      <alignment horizontal="center"/>
    </xf>
    <xf numFmtId="164" fontId="23" fillId="0" borderId="5" xfId="1" applyFont="1" applyFill="1" applyBorder="1" applyAlignment="1">
      <alignment horizontal="center"/>
    </xf>
    <xf numFmtId="164" fontId="22" fillId="0" borderId="5" xfId="1" applyFont="1" applyFill="1" applyBorder="1" applyAlignment="1">
      <alignment horizontal="center" vertical="center" wrapText="1"/>
    </xf>
    <xf numFmtId="164" fontId="31" fillId="4" borderId="19" xfId="1" applyFont="1" applyFill="1" applyBorder="1" applyAlignment="1">
      <alignment horizontal="center"/>
    </xf>
    <xf numFmtId="164" fontId="7" fillId="0" borderId="0" xfId="1" applyFont="1" applyAlignment="1">
      <alignment horizontal="center"/>
    </xf>
    <xf numFmtId="164" fontId="23" fillId="0" borderId="0" xfId="1" applyFont="1" applyFill="1" applyBorder="1" applyAlignment="1">
      <alignment horizontal="center"/>
    </xf>
    <xf numFmtId="164" fontId="31" fillId="4" borderId="1" xfId="1" applyFont="1" applyFill="1" applyBorder="1" applyAlignment="1">
      <alignment horizontal="center" vertical="center" wrapText="1"/>
    </xf>
    <xf numFmtId="0" fontId="7" fillId="0" borderId="0" xfId="12" applyFont="1" applyFill="1" applyBorder="1" applyAlignment="1">
      <alignment vertical="center" wrapText="1"/>
    </xf>
    <xf numFmtId="164" fontId="7" fillId="0" borderId="8" xfId="1" applyFont="1" applyFill="1" applyBorder="1" applyAlignment="1">
      <alignment horizontal="center" vertical="center"/>
    </xf>
    <xf numFmtId="164" fontId="7" fillId="0" borderId="5" xfId="1" applyFont="1" applyFill="1" applyBorder="1" applyAlignment="1">
      <alignment vertical="center"/>
    </xf>
    <xf numFmtId="4" fontId="7" fillId="0" borderId="9" xfId="12" applyNumberFormat="1" applyFont="1" applyFill="1" applyBorder="1" applyAlignment="1">
      <alignment vertical="center"/>
    </xf>
    <xf numFmtId="164" fontId="23" fillId="0" borderId="8" xfId="1" applyFont="1" applyFill="1" applyBorder="1" applyAlignment="1"/>
    <xf numFmtId="164" fontId="22" fillId="0" borderId="8" xfId="1" applyFont="1" applyFill="1" applyBorder="1" applyAlignment="1">
      <alignment vertical="center" wrapText="1"/>
    </xf>
    <xf numFmtId="164" fontId="22" fillId="0" borderId="8" xfId="1" applyFont="1" applyFill="1" applyBorder="1" applyAlignment="1"/>
    <xf numFmtId="164" fontId="7" fillId="0" borderId="8" xfId="1" applyFont="1" applyFill="1" applyBorder="1" applyAlignment="1"/>
    <xf numFmtId="0" fontId="0" fillId="0" borderId="0" xfId="0" applyFont="1" applyFill="1"/>
    <xf numFmtId="164" fontId="0" fillId="0" borderId="0" xfId="0" applyNumberFormat="1" applyFont="1" applyFill="1"/>
    <xf numFmtId="0" fontId="2" fillId="5" borderId="1" xfId="0" applyFont="1" applyFill="1" applyBorder="1" applyAlignment="1">
      <alignment horizontal="left"/>
    </xf>
    <xf numFmtId="165" fontId="2" fillId="5" borderId="1" xfId="0" applyNumberFormat="1" applyFont="1" applyFill="1" applyBorder="1"/>
    <xf numFmtId="10" fontId="3" fillId="5" borderId="1" xfId="2" applyNumberFormat="1" applyFont="1" applyFill="1" applyBorder="1" applyAlignment="1">
      <alignment horizontal="right" vertical="center" wrapText="1"/>
    </xf>
    <xf numFmtId="43" fontId="0" fillId="0" borderId="0" xfId="0" applyNumberFormat="1" applyAlignment="1">
      <alignment vertical="center"/>
    </xf>
    <xf numFmtId="0" fontId="0" fillId="0" borderId="1" xfId="0" applyBorder="1" applyAlignment="1">
      <alignment horizontal="left" vertical="center"/>
    </xf>
    <xf numFmtId="0" fontId="0" fillId="0" borderId="1" xfId="0" applyBorder="1" applyAlignment="1">
      <alignment horizontal="center" vertical="center"/>
    </xf>
    <xf numFmtId="164" fontId="0" fillId="0" borderId="1" xfId="6" applyFont="1" applyFill="1" applyBorder="1" applyAlignment="1">
      <alignment vertical="center"/>
    </xf>
    <xf numFmtId="49" fontId="0" fillId="0" borderId="1" xfId="2" applyNumberFormat="1" applyFont="1" applyBorder="1" applyAlignment="1">
      <alignment horizontal="right" vertical="center"/>
    </xf>
    <xf numFmtId="0" fontId="0" fillId="0" borderId="1" xfId="0" applyBorder="1" applyAlignment="1">
      <alignment horizontal="left"/>
    </xf>
    <xf numFmtId="49" fontId="0" fillId="0" borderId="1" xfId="2" applyNumberFormat="1" applyFont="1" applyBorder="1" applyAlignment="1">
      <alignment horizontal="right"/>
    </xf>
    <xf numFmtId="164" fontId="0" fillId="0" borderId="1" xfId="6" applyFont="1" applyFill="1" applyBorder="1"/>
    <xf numFmtId="43" fontId="0" fillId="0" borderId="0" xfId="0" applyNumberFormat="1"/>
    <xf numFmtId="0" fontId="3" fillId="0" borderId="1" xfId="0" applyFont="1" applyFill="1" applyBorder="1" applyAlignment="1">
      <alignment horizontal="left"/>
    </xf>
    <xf numFmtId="164" fontId="0" fillId="0" borderId="1" xfId="6" applyFont="1" applyBorder="1"/>
    <xf numFmtId="164" fontId="3" fillId="0" borderId="1" xfId="6" applyFont="1" applyBorder="1"/>
    <xf numFmtId="164" fontId="0" fillId="0" borderId="0" xfId="6" applyFont="1"/>
    <xf numFmtId="164" fontId="0" fillId="0" borderId="1" xfId="6" applyFont="1" applyBorder="1" applyAlignment="1">
      <alignment vertical="center"/>
    </xf>
    <xf numFmtId="0" fontId="41" fillId="0" borderId="1" xfId="0" applyFont="1" applyFill="1" applyBorder="1" applyAlignment="1">
      <alignment horizontal="left"/>
    </xf>
    <xf numFmtId="164" fontId="3" fillId="0" borderId="1" xfId="0" applyNumberFormat="1" applyFont="1" applyFill="1" applyBorder="1"/>
    <xf numFmtId="164" fontId="3" fillId="0" borderId="1" xfId="0" applyNumberFormat="1" applyFont="1" applyBorder="1"/>
    <xf numFmtId="0" fontId="0" fillId="0" borderId="0" xfId="0" applyFill="1" applyBorder="1" applyAlignment="1">
      <alignment horizontal="left" vertical="center"/>
    </xf>
    <xf numFmtId="0" fontId="2" fillId="0" borderId="0" xfId="0" applyFont="1"/>
    <xf numFmtId="4" fontId="0" fillId="0" borderId="0" xfId="0" applyNumberFormat="1"/>
    <xf numFmtId="164" fontId="0" fillId="0" borderId="0" xfId="6" applyFont="1" applyFill="1" applyAlignment="1">
      <alignment vertical="center"/>
    </xf>
    <xf numFmtId="164" fontId="0" fillId="0" borderId="0" xfId="0" applyNumberFormat="1" applyFill="1" applyBorder="1"/>
    <xf numFmtId="164" fontId="0" fillId="0" borderId="0" xfId="6" applyFont="1" applyFill="1" applyBorder="1"/>
    <xf numFmtId="0" fontId="0" fillId="0" borderId="0" xfId="0" applyFill="1" applyBorder="1" applyAlignment="1">
      <alignment horizontal="center"/>
    </xf>
    <xf numFmtId="4" fontId="0" fillId="0" borderId="0" xfId="0" applyNumberFormat="1" applyFill="1" applyBorder="1"/>
    <xf numFmtId="0" fontId="2" fillId="10" borderId="0" xfId="0" applyFont="1" applyFill="1"/>
    <xf numFmtId="164" fontId="2" fillId="10" borderId="0" xfId="6" applyFont="1" applyFill="1"/>
    <xf numFmtId="0" fontId="2" fillId="11" borderId="0" xfId="0" applyFont="1" applyFill="1"/>
    <xf numFmtId="164" fontId="2" fillId="11" borderId="0" xfId="6" applyFont="1" applyFill="1"/>
    <xf numFmtId="43" fontId="0" fillId="0" borderId="0" xfId="117" applyFont="1" applyFill="1" applyBorder="1" applyAlignment="1">
      <alignment vertical="center"/>
    </xf>
    <xf numFmtId="0" fontId="0" fillId="0" borderId="0" xfId="0" applyFill="1" applyBorder="1" applyAlignment="1">
      <alignment vertical="center"/>
    </xf>
    <xf numFmtId="0" fontId="0" fillId="0" borderId="0" xfId="0" applyFill="1" applyBorder="1" applyAlignment="1"/>
    <xf numFmtId="43" fontId="0" fillId="0" borderId="0" xfId="117" applyFont="1" applyFill="1" applyBorder="1" applyAlignment="1"/>
    <xf numFmtId="43" fontId="0" fillId="0" borderId="0" xfId="0" applyNumberFormat="1" applyFill="1" applyBorder="1"/>
    <xf numFmtId="0" fontId="12" fillId="0" borderId="0" xfId="0" applyFont="1" applyBorder="1" applyAlignment="1">
      <alignment horizontal="center"/>
    </xf>
    <xf numFmtId="0" fontId="8" fillId="0" borderId="0" xfId="0" applyFont="1" applyBorder="1" applyAlignment="1">
      <alignment horizontal="center"/>
    </xf>
    <xf numFmtId="164" fontId="31" fillId="4" borderId="1" xfId="1" applyFont="1" applyFill="1" applyBorder="1" applyAlignment="1">
      <alignment horizontal="center" vertical="center" wrapText="1"/>
    </xf>
    <xf numFmtId="0" fontId="0" fillId="3" borderId="0" xfId="0" applyFill="1"/>
    <xf numFmtId="43" fontId="0" fillId="3" borderId="0" xfId="117" applyFont="1" applyFill="1" applyBorder="1" applyAlignment="1">
      <alignment horizontal="left" vertical="center"/>
    </xf>
    <xf numFmtId="10" fontId="7" fillId="0" borderId="9" xfId="2" applyNumberFormat="1" applyFont="1" applyFill="1" applyBorder="1" applyAlignment="1">
      <alignment vertical="center"/>
    </xf>
    <xf numFmtId="0" fontId="7" fillId="0" borderId="0" xfId="12" applyFont="1" applyFill="1"/>
    <xf numFmtId="4" fontId="7" fillId="0" borderId="0" xfId="12" applyNumberFormat="1" applyFont="1" applyFill="1"/>
    <xf numFmtId="164" fontId="42" fillId="2" borderId="22" xfId="1" applyFont="1" applyFill="1" applyBorder="1" applyAlignment="1">
      <alignment horizontal="center" vertical="center" wrapText="1"/>
    </xf>
    <xf numFmtId="164" fontId="42" fillId="2" borderId="22" xfId="1" applyFont="1" applyFill="1" applyBorder="1" applyAlignment="1">
      <alignment horizontal="center" vertical="center"/>
    </xf>
    <xf numFmtId="0" fontId="12" fillId="0" borderId="1" xfId="0" applyFont="1" applyFill="1" applyBorder="1"/>
    <xf numFmtId="0" fontId="43" fillId="13" borderId="0" xfId="0" applyFont="1" applyFill="1" applyBorder="1" applyAlignment="1">
      <alignment horizontal="left" vertical="top" wrapText="1"/>
    </xf>
    <xf numFmtId="0" fontId="44" fillId="13" borderId="0" xfId="0" applyFont="1" applyFill="1" applyAlignment="1">
      <alignment vertical="top"/>
    </xf>
    <xf numFmtId="0" fontId="45" fillId="13" borderId="0" xfId="0" applyFont="1" applyFill="1" applyAlignment="1">
      <alignment vertical="top" wrapText="1"/>
    </xf>
    <xf numFmtId="0" fontId="45" fillId="13" borderId="0" xfId="0" applyFont="1" applyFill="1" applyAlignment="1">
      <alignment vertical="top"/>
    </xf>
    <xf numFmtId="0" fontId="43" fillId="13" borderId="0" xfId="0" applyFont="1" applyFill="1" applyBorder="1" applyAlignment="1">
      <alignment horizontal="left" vertical="center" wrapText="1"/>
    </xf>
    <xf numFmtId="0" fontId="43" fillId="13" borderId="0" xfId="0" applyFont="1" applyFill="1" applyBorder="1" applyAlignment="1">
      <alignment horizontal="center" vertical="center" wrapText="1"/>
    </xf>
    <xf numFmtId="0" fontId="43" fillId="13" borderId="8" xfId="0" applyFont="1" applyFill="1" applyBorder="1" applyAlignment="1">
      <alignment horizontal="center" vertical="center" wrapText="1"/>
    </xf>
    <xf numFmtId="14" fontId="43" fillId="13" borderId="2" xfId="0" applyNumberFormat="1" applyFont="1" applyFill="1" applyBorder="1" applyAlignment="1">
      <alignment horizontal="center" vertical="center" wrapText="1"/>
    </xf>
    <xf numFmtId="0" fontId="43" fillId="13" borderId="2" xfId="0" applyFont="1" applyFill="1" applyBorder="1" applyAlignment="1">
      <alignment horizontal="center" vertical="center" wrapText="1"/>
    </xf>
    <xf numFmtId="0" fontId="45" fillId="13" borderId="0" xfId="0" applyFont="1" applyFill="1" applyAlignment="1">
      <alignment horizontal="center" vertical="center" wrapText="1"/>
    </xf>
    <xf numFmtId="0" fontId="45" fillId="13" borderId="0" xfId="0" applyFont="1" applyFill="1" applyAlignment="1">
      <alignment horizontal="left" vertical="center" wrapText="1"/>
    </xf>
    <xf numFmtId="0" fontId="45" fillId="13" borderId="0" xfId="0" applyFont="1" applyFill="1" applyAlignment="1">
      <alignment horizontal="center" vertical="center"/>
    </xf>
    <xf numFmtId="0" fontId="45" fillId="13" borderId="0" xfId="0" applyFont="1" applyFill="1" applyAlignment="1">
      <alignment vertical="center" wrapText="1"/>
    </xf>
    <xf numFmtId="0" fontId="46" fillId="14" borderId="27" xfId="0" applyFont="1" applyFill="1" applyBorder="1" applyAlignment="1">
      <alignment horizontal="center" vertical="center" wrapText="1"/>
    </xf>
    <xf numFmtId="0" fontId="47" fillId="15" borderId="27"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45" fillId="0" borderId="0" xfId="0" applyFont="1" applyFill="1" applyAlignment="1">
      <alignment horizontal="left" vertical="center" wrapText="1"/>
    </xf>
    <xf numFmtId="0" fontId="45" fillId="0" borderId="1" xfId="0" applyFont="1" applyFill="1" applyBorder="1" applyAlignment="1">
      <alignment horizontal="left" vertical="center" wrapText="1"/>
    </xf>
    <xf numFmtId="168" fontId="44" fillId="0" borderId="1" xfId="0" applyNumberFormat="1" applyFont="1" applyFill="1" applyBorder="1" applyAlignment="1">
      <alignment horizontal="center" vertical="center"/>
    </xf>
    <xf numFmtId="0" fontId="45" fillId="0" borderId="1" xfId="0" applyFont="1" applyFill="1" applyBorder="1" applyAlignment="1">
      <alignment vertical="center" wrapText="1"/>
    </xf>
    <xf numFmtId="0" fontId="44" fillId="0" borderId="1" xfId="0" applyFont="1" applyFill="1" applyBorder="1" applyAlignment="1">
      <alignment horizontal="center" vertical="center" wrapText="1"/>
    </xf>
    <xf numFmtId="0" fontId="44" fillId="0" borderId="1" xfId="0" applyFont="1" applyFill="1" applyBorder="1" applyAlignment="1">
      <alignment horizontal="left" vertical="center" wrapText="1"/>
    </xf>
    <xf numFmtId="0" fontId="45" fillId="0" borderId="0" xfId="0" applyFont="1" applyFill="1" applyAlignment="1">
      <alignment horizontal="left" vertical="top"/>
    </xf>
    <xf numFmtId="0" fontId="44" fillId="0" borderId="1" xfId="0" applyFont="1" applyFill="1" applyBorder="1" applyAlignment="1">
      <alignment vertical="center" wrapText="1"/>
    </xf>
    <xf numFmtId="0" fontId="44" fillId="0" borderId="1" xfId="0" applyFont="1" applyFill="1" applyBorder="1" applyAlignment="1">
      <alignment horizontal="center" vertical="center"/>
    </xf>
    <xf numFmtId="0" fontId="45" fillId="0" borderId="1" xfId="0" applyFont="1" applyFill="1" applyBorder="1" applyAlignment="1">
      <alignment horizontal="center" vertical="center"/>
    </xf>
    <xf numFmtId="0" fontId="45" fillId="0" borderId="0" xfId="0" applyFont="1" applyFill="1" applyAlignment="1">
      <alignment horizontal="left" vertical="top" wrapText="1"/>
    </xf>
    <xf numFmtId="168" fontId="45" fillId="0" borderId="1" xfId="0" applyNumberFormat="1" applyFont="1" applyFill="1" applyBorder="1" applyAlignment="1">
      <alignment horizontal="center" vertical="center"/>
    </xf>
    <xf numFmtId="0" fontId="45" fillId="0" borderId="1" xfId="0" applyFont="1" applyFill="1" applyBorder="1" applyAlignment="1">
      <alignment horizontal="left" vertical="top"/>
    </xf>
    <xf numFmtId="0" fontId="45" fillId="0" borderId="5" xfId="0" applyFont="1" applyFill="1" applyBorder="1" applyAlignment="1">
      <alignment horizontal="center" vertical="center" wrapText="1"/>
    </xf>
    <xf numFmtId="0" fontId="45" fillId="0" borderId="5" xfId="0" applyFont="1" applyFill="1" applyBorder="1" applyAlignment="1">
      <alignment horizontal="left" vertical="center" wrapText="1"/>
    </xf>
    <xf numFmtId="168" fontId="45" fillId="13" borderId="5" xfId="0" applyNumberFormat="1" applyFont="1" applyFill="1" applyBorder="1" applyAlignment="1">
      <alignment horizontal="center" vertical="center"/>
    </xf>
    <xf numFmtId="0" fontId="45" fillId="0" borderId="5" xfId="0" applyFont="1" applyFill="1" applyBorder="1" applyAlignment="1">
      <alignment vertical="center" wrapText="1"/>
    </xf>
    <xf numFmtId="0" fontId="44" fillId="0" borderId="5" xfId="0" applyFont="1" applyFill="1" applyBorder="1" applyAlignment="1">
      <alignment horizontal="center" vertical="center" wrapText="1"/>
    </xf>
    <xf numFmtId="0" fontId="44" fillId="0" borderId="5" xfId="0" applyFont="1" applyFill="1" applyBorder="1" applyAlignment="1">
      <alignment horizontal="left" vertical="center" wrapText="1"/>
    </xf>
    <xf numFmtId="0" fontId="45" fillId="0" borderId="0" xfId="0" applyFont="1" applyFill="1" applyBorder="1" applyAlignment="1">
      <alignment horizontal="center" vertical="center"/>
    </xf>
    <xf numFmtId="0" fontId="45" fillId="0" borderId="0" xfId="0" applyFont="1" applyFill="1" applyBorder="1" applyAlignment="1">
      <alignment vertical="top"/>
    </xf>
    <xf numFmtId="0" fontId="45" fillId="0" borderId="0" xfId="0" applyFont="1" applyFill="1" applyBorder="1" applyAlignment="1">
      <alignment horizontal="center" vertical="center" wrapText="1"/>
    </xf>
    <xf numFmtId="0" fontId="45" fillId="0" borderId="0" xfId="0" applyFont="1" applyFill="1" applyBorder="1" applyAlignment="1">
      <alignment horizontal="left" vertical="center" wrapText="1"/>
    </xf>
    <xf numFmtId="0" fontId="45" fillId="0" borderId="0" xfId="0" applyFont="1" applyFill="1" applyBorder="1" applyAlignment="1">
      <alignment vertical="center" wrapText="1"/>
    </xf>
    <xf numFmtId="0" fontId="44" fillId="0" borderId="0" xfId="0" applyFont="1" applyFill="1" applyBorder="1" applyAlignment="1">
      <alignment vertical="top"/>
    </xf>
    <xf numFmtId="0" fontId="45" fillId="0" borderId="0" xfId="0" applyFont="1" applyFill="1" applyBorder="1" applyAlignment="1">
      <alignment vertical="top" wrapText="1"/>
    </xf>
    <xf numFmtId="164" fontId="45" fillId="0" borderId="0" xfId="0" applyNumberFormat="1" applyFont="1" applyFill="1" applyBorder="1" applyAlignment="1">
      <alignment horizontal="right" vertical="center"/>
    </xf>
    <xf numFmtId="164" fontId="45" fillId="0" borderId="0" xfId="1" applyFont="1" applyFill="1" applyBorder="1" applyAlignment="1">
      <alignment horizontal="center" vertical="center"/>
    </xf>
    <xf numFmtId="0" fontId="45" fillId="0" borderId="0" xfId="0" applyFont="1" applyFill="1" applyBorder="1" applyAlignment="1">
      <alignment horizontal="left" vertical="center"/>
    </xf>
    <xf numFmtId="0" fontId="48" fillId="0" borderId="0" xfId="0" applyFont="1" applyFill="1" applyBorder="1" applyAlignment="1">
      <alignment horizontal="left" vertical="center" wrapText="1"/>
    </xf>
    <xf numFmtId="164" fontId="45" fillId="0" borderId="0" xfId="1" applyFont="1" applyFill="1" applyBorder="1" applyAlignment="1">
      <alignment vertical="center"/>
    </xf>
    <xf numFmtId="164" fontId="49" fillId="0" borderId="0" xfId="1" applyFont="1" applyFill="1" applyBorder="1" applyAlignment="1">
      <alignment vertical="center"/>
    </xf>
    <xf numFmtId="164" fontId="45" fillId="0" borderId="0" xfId="1" applyFont="1" applyFill="1" applyBorder="1" applyAlignment="1">
      <alignment horizontal="center" vertical="center" wrapText="1"/>
    </xf>
    <xf numFmtId="164" fontId="45" fillId="0" borderId="0" xfId="1" applyFont="1" applyFill="1" applyBorder="1" applyAlignment="1">
      <alignment vertical="center" wrapText="1"/>
    </xf>
    <xf numFmtId="168" fontId="45" fillId="0" borderId="0" xfId="0" applyNumberFormat="1" applyFont="1" applyFill="1" applyBorder="1" applyAlignment="1">
      <alignment horizontal="center" vertical="center"/>
    </xf>
    <xf numFmtId="165" fontId="45" fillId="0" borderId="0" xfId="0" applyNumberFormat="1" applyFont="1" applyFill="1" applyBorder="1" applyAlignment="1">
      <alignment vertical="center" wrapText="1"/>
    </xf>
    <xf numFmtId="4" fontId="45" fillId="0" borderId="0" xfId="0" applyNumberFormat="1" applyFont="1" applyFill="1" applyBorder="1" applyAlignment="1">
      <alignment horizontal="center" vertical="center"/>
    </xf>
    <xf numFmtId="164" fontId="45" fillId="0" borderId="0" xfId="1" applyFont="1" applyFill="1" applyBorder="1" applyAlignment="1">
      <alignment horizontal="left" vertical="center" wrapText="1"/>
    </xf>
    <xf numFmtId="165" fontId="45" fillId="0" borderId="0" xfId="0" applyNumberFormat="1" applyFont="1" applyFill="1" applyBorder="1" applyAlignment="1">
      <alignment horizontal="center" vertical="center"/>
    </xf>
    <xf numFmtId="0" fontId="49" fillId="0" borderId="0" xfId="0" applyFont="1" applyFill="1" applyBorder="1" applyAlignment="1">
      <alignment vertical="center" wrapText="1"/>
    </xf>
    <xf numFmtId="0" fontId="49" fillId="0" borderId="0" xfId="0" applyFont="1" applyFill="1" applyBorder="1" applyAlignment="1">
      <alignment horizontal="center" vertical="center"/>
    </xf>
    <xf numFmtId="164" fontId="45" fillId="0" borderId="0" xfId="0" applyNumberFormat="1" applyFont="1" applyFill="1" applyBorder="1" applyAlignment="1">
      <alignment vertical="center"/>
    </xf>
    <xf numFmtId="164" fontId="45" fillId="0" borderId="0" xfId="0" applyNumberFormat="1" applyFont="1" applyFill="1" applyBorder="1" applyAlignment="1">
      <alignment horizontal="left" vertical="center" wrapText="1"/>
    </xf>
    <xf numFmtId="0" fontId="45" fillId="0" borderId="0" xfId="0" applyFont="1" applyFill="1" applyBorder="1" applyAlignment="1">
      <alignment vertical="center"/>
    </xf>
    <xf numFmtId="165" fontId="45" fillId="0" borderId="0" xfId="0" applyNumberFormat="1" applyFont="1" applyFill="1" applyBorder="1" applyAlignment="1">
      <alignment vertical="center"/>
    </xf>
    <xf numFmtId="165" fontId="49" fillId="0" borderId="0" xfId="0" applyNumberFormat="1" applyFont="1" applyFill="1" applyBorder="1" applyAlignment="1">
      <alignment horizontal="center" vertical="center"/>
    </xf>
    <xf numFmtId="10" fontId="45" fillId="0" borderId="0" xfId="0" applyNumberFormat="1" applyFont="1" applyFill="1" applyBorder="1" applyAlignment="1">
      <alignment horizontal="left" vertical="center" wrapText="1"/>
    </xf>
    <xf numFmtId="43" fontId="45" fillId="0" borderId="0" xfId="0" applyNumberFormat="1" applyFont="1" applyFill="1" applyBorder="1" applyAlignment="1">
      <alignment horizontal="left" vertical="center" wrapText="1"/>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12" fillId="0" borderId="2" xfId="0" applyFont="1" applyBorder="1"/>
    <xf numFmtId="164" fontId="12" fillId="0" borderId="3" xfId="1" applyFont="1" applyBorder="1"/>
    <xf numFmtId="10" fontId="52" fillId="0" borderId="7" xfId="2" applyNumberFormat="1" applyFont="1" applyFill="1" applyBorder="1" applyAlignment="1">
      <alignment horizontal="center"/>
    </xf>
    <xf numFmtId="164" fontId="12" fillId="0" borderId="0" xfId="1" applyFont="1" applyBorder="1"/>
    <xf numFmtId="164" fontId="14" fillId="2" borderId="0" xfId="1" applyFont="1" applyFill="1" applyBorder="1" applyAlignment="1">
      <alignment horizontal="left" vertical="center"/>
    </xf>
    <xf numFmtId="0" fontId="0" fillId="0" borderId="0" xfId="0" applyAlignment="1">
      <alignment horizontal="left" vertical="center" wrapText="1"/>
    </xf>
    <xf numFmtId="0" fontId="0" fillId="0" borderId="0" xfId="0" applyFill="1" applyAlignment="1">
      <alignment horizontal="left" vertical="center" wrapText="1"/>
    </xf>
    <xf numFmtId="0" fontId="17" fillId="0" borderId="1" xfId="12" applyFont="1" applyBorder="1" applyAlignment="1">
      <alignment horizontal="center" vertical="center" wrapText="1"/>
    </xf>
    <xf numFmtId="9" fontId="45" fillId="0" borderId="0" xfId="2" applyFont="1" applyFill="1" applyBorder="1" applyAlignment="1">
      <alignment horizontal="right" vertical="center"/>
    </xf>
    <xf numFmtId="164" fontId="0" fillId="0" borderId="0" xfId="1" applyFont="1" applyAlignment="1">
      <alignment vertical="center"/>
    </xf>
    <xf numFmtId="9" fontId="0" fillId="0" borderId="0" xfId="2" applyFont="1"/>
    <xf numFmtId="0" fontId="0" fillId="0" borderId="0" xfId="0" applyFont="1" applyAlignment="1">
      <alignment horizontal="center" vertical="center"/>
    </xf>
    <xf numFmtId="0" fontId="0" fillId="0" borderId="0" xfId="0" applyFont="1" applyAlignment="1">
      <alignment horizontal="center"/>
    </xf>
    <xf numFmtId="0" fontId="0" fillId="0" borderId="0" xfId="0" applyFont="1" applyAlignment="1">
      <alignment horizontal="left"/>
    </xf>
    <xf numFmtId="0" fontId="0" fillId="0" borderId="0" xfId="0" applyFont="1" applyAlignment="1">
      <alignment horizontal="center" vertical="center" wrapText="1"/>
    </xf>
    <xf numFmtId="0" fontId="0" fillId="0" borderId="0" xfId="125" applyNumberFormat="1" applyFont="1" applyAlignment="1">
      <alignment vertical="center"/>
    </xf>
    <xf numFmtId="165" fontId="0" fillId="0" borderId="0" xfId="125" applyFont="1" applyAlignment="1">
      <alignment vertical="center"/>
    </xf>
    <xf numFmtId="0" fontId="55" fillId="0" borderId="0" xfId="0" applyFont="1" applyAlignment="1">
      <alignment horizontal="left" vertical="center"/>
    </xf>
    <xf numFmtId="165" fontId="53" fillId="4" borderId="6" xfId="125" applyFont="1" applyFill="1" applyBorder="1" applyAlignment="1">
      <alignment horizontal="center" vertical="center" wrapText="1"/>
    </xf>
    <xf numFmtId="0" fontId="53" fillId="4" borderId="1" xfId="0" applyNumberFormat="1" applyFont="1" applyFill="1" applyBorder="1" applyAlignment="1">
      <alignment horizontal="center" vertical="center" wrapText="1"/>
    </xf>
    <xf numFmtId="4" fontId="53" fillId="4" borderId="1" xfId="0" applyNumberFormat="1" applyFont="1" applyFill="1" applyBorder="1" applyAlignment="1">
      <alignment horizontal="center" vertical="center" wrapText="1"/>
    </xf>
    <xf numFmtId="0" fontId="53" fillId="4" borderId="1" xfId="0" applyFont="1" applyFill="1" applyBorder="1" applyAlignment="1">
      <alignment horizontal="center" vertical="center" wrapText="1"/>
    </xf>
    <xf numFmtId="0" fontId="0" fillId="0" borderId="1" xfId="0" applyFont="1" applyFill="1" applyBorder="1" applyAlignment="1">
      <alignment horizontal="left" vertical="center"/>
    </xf>
    <xf numFmtId="0" fontId="56" fillId="0" borderId="1" xfId="0" applyFont="1" applyFill="1" applyBorder="1" applyAlignment="1">
      <alignment horizontal="left" vertical="center"/>
    </xf>
    <xf numFmtId="0" fontId="0" fillId="0" borderId="1" xfId="125" applyNumberFormat="1" applyFont="1" applyFill="1" applyBorder="1" applyAlignment="1">
      <alignment horizontal="left" vertical="center" wrapText="1"/>
    </xf>
    <xf numFmtId="0" fontId="56" fillId="0" borderId="2" xfId="125" applyNumberFormat="1" applyFont="1" applyFill="1" applyBorder="1" applyAlignment="1">
      <alignment horizontal="left" vertical="center" wrapText="1"/>
    </xf>
    <xf numFmtId="165" fontId="56" fillId="0" borderId="1" xfId="125" applyNumberFormat="1" applyFont="1" applyFill="1" applyBorder="1" applyAlignment="1">
      <alignment horizontal="left" vertical="center"/>
    </xf>
    <xf numFmtId="165" fontId="0" fillId="0" borderId="2" xfId="125" applyNumberFormat="1" applyFont="1" applyFill="1" applyBorder="1" applyAlignment="1">
      <alignment horizontal="left" vertical="center" wrapText="1"/>
    </xf>
    <xf numFmtId="0" fontId="0" fillId="0" borderId="0" xfId="0" applyFont="1" applyFill="1" applyAlignment="1">
      <alignment horizontal="left" vertical="center"/>
    </xf>
    <xf numFmtId="0" fontId="56"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0" fontId="0" fillId="0" borderId="1" xfId="0" applyFont="1" applyFill="1" applyBorder="1" applyAlignment="1">
      <alignment horizontal="center" vertical="center" wrapText="1"/>
    </xf>
    <xf numFmtId="0" fontId="2" fillId="0" borderId="2" xfId="0" applyNumberFormat="1" applyFont="1" applyFill="1" applyBorder="1" applyAlignment="1">
      <alignment horizontal="center" vertical="center"/>
    </xf>
    <xf numFmtId="165" fontId="2" fillId="0" borderId="1" xfId="0" applyNumberFormat="1" applyFont="1" applyFill="1" applyBorder="1" applyAlignment="1">
      <alignment horizontal="center" vertical="center"/>
    </xf>
    <xf numFmtId="0" fontId="2" fillId="0" borderId="28" xfId="0" applyFont="1" applyFill="1" applyBorder="1" applyAlignment="1">
      <alignment horizontal="center" vertical="center"/>
    </xf>
    <xf numFmtId="0" fontId="0" fillId="0" borderId="0" xfId="0" applyFont="1" applyFill="1" applyAlignment="1">
      <alignment horizontal="center" vertical="center"/>
    </xf>
    <xf numFmtId="165" fontId="53" fillId="4" borderId="1" xfId="125" applyFont="1" applyFill="1" applyBorder="1" applyAlignment="1">
      <alignment horizontal="center" vertical="center" wrapText="1"/>
    </xf>
    <xf numFmtId="4" fontId="53" fillId="4" borderId="29" xfId="0" applyNumberFormat="1" applyFont="1" applyFill="1" applyBorder="1" applyAlignment="1">
      <alignment horizontal="center" vertical="center" wrapText="1"/>
    </xf>
    <xf numFmtId="0" fontId="56" fillId="0" borderId="1" xfId="125" applyNumberFormat="1" applyFont="1" applyFill="1" applyBorder="1" applyAlignment="1">
      <alignment horizontal="left" vertical="center" wrapText="1"/>
    </xf>
    <xf numFmtId="165" fontId="0" fillId="0" borderId="1" xfId="125"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center"/>
    </xf>
    <xf numFmtId="0" fontId="3" fillId="0" borderId="1" xfId="0" applyFont="1" applyBorder="1" applyAlignment="1">
      <alignment horizontal="left"/>
    </xf>
    <xf numFmtId="0" fontId="3" fillId="0" borderId="1" xfId="0" applyFont="1" applyBorder="1" applyAlignment="1">
      <alignment horizontal="center" vertical="center" wrapText="1"/>
    </xf>
    <xf numFmtId="0" fontId="3" fillId="0" borderId="2" xfId="125" applyNumberFormat="1" applyFont="1" applyBorder="1" applyAlignment="1">
      <alignment vertical="center"/>
    </xf>
    <xf numFmtId="43" fontId="3" fillId="0" borderId="3" xfId="125" applyNumberFormat="1" applyFont="1" applyBorder="1" applyAlignment="1">
      <alignment vertical="center"/>
    </xf>
    <xf numFmtId="0" fontId="3" fillId="0" borderId="7" xfId="125" applyNumberFormat="1" applyFont="1" applyBorder="1" applyAlignment="1">
      <alignment vertical="center"/>
    </xf>
    <xf numFmtId="0" fontId="57" fillId="0" borderId="0" xfId="0" applyFont="1"/>
    <xf numFmtId="164" fontId="14" fillId="9" borderId="22" xfId="1" applyFont="1" applyFill="1" applyBorder="1" applyAlignment="1">
      <alignment horizontal="center" vertical="center" wrapText="1"/>
    </xf>
    <xf numFmtId="164" fontId="13" fillId="0" borderId="1" xfId="1" applyFont="1" applyFill="1" applyBorder="1"/>
    <xf numFmtId="164" fontId="12" fillId="0" borderId="1" xfId="1" applyFont="1" applyFill="1" applyBorder="1"/>
    <xf numFmtId="164" fontId="45" fillId="0" borderId="0" xfId="1" applyFont="1" applyFill="1" applyBorder="1" applyAlignment="1">
      <alignment horizontal="right" vertical="center"/>
    </xf>
    <xf numFmtId="0" fontId="2" fillId="0" borderId="0" xfId="0" applyFont="1" applyFill="1" applyBorder="1"/>
    <xf numFmtId="4" fontId="0" fillId="0" borderId="0" xfId="0" applyNumberFormat="1" applyAlignment="1">
      <alignment vertical="center"/>
    </xf>
    <xf numFmtId="0" fontId="0" fillId="16" borderId="0" xfId="0" applyFont="1" applyFill="1"/>
    <xf numFmtId="164" fontId="0" fillId="16" borderId="0" xfId="6" applyFont="1" applyFill="1" applyAlignment="1">
      <alignment vertical="center"/>
    </xf>
    <xf numFmtId="164" fontId="0" fillId="16" borderId="0" xfId="6" applyFont="1" applyFill="1"/>
    <xf numFmtId="0" fontId="0" fillId="16" borderId="0" xfId="0" applyFont="1" applyFill="1" applyAlignment="1">
      <alignment vertical="center"/>
    </xf>
    <xf numFmtId="164" fontId="0" fillId="0" borderId="0" xfId="0" applyNumberFormat="1" applyFill="1" applyBorder="1" applyAlignment="1">
      <alignment horizontal="left" vertical="center" wrapText="1"/>
    </xf>
    <xf numFmtId="0" fontId="0" fillId="0" borderId="0" xfId="0" applyFont="1" applyAlignment="1">
      <alignment horizontal="left" vertical="center" wrapText="1"/>
    </xf>
    <xf numFmtId="0" fontId="2" fillId="0" borderId="0" xfId="0" applyFont="1" applyFill="1" applyAlignment="1">
      <alignment vertical="center"/>
    </xf>
    <xf numFmtId="0" fontId="56" fillId="0" borderId="0" xfId="0" applyFont="1" applyAlignment="1">
      <alignment vertical="center"/>
    </xf>
    <xf numFmtId="164" fontId="56" fillId="0" borderId="0" xfId="6" applyFont="1"/>
    <xf numFmtId="0" fontId="0" fillId="12" borderId="0" xfId="0" applyFont="1" applyFill="1" applyAlignment="1">
      <alignment vertical="center"/>
    </xf>
    <xf numFmtId="164" fontId="0" fillId="12" borderId="0" xfId="6" applyFont="1" applyFill="1"/>
    <xf numFmtId="0" fontId="2" fillId="0" borderId="0" xfId="0" applyFont="1" applyFill="1" applyBorder="1" applyAlignment="1">
      <alignment vertical="center" wrapText="1"/>
    </xf>
    <xf numFmtId="164" fontId="0" fillId="0" borderId="0" xfId="0" applyNumberFormat="1" applyFill="1" applyBorder="1" applyAlignment="1">
      <alignment vertical="center" wrapText="1"/>
    </xf>
    <xf numFmtId="164" fontId="0" fillId="0" borderId="0" xfId="1" applyFont="1" applyFill="1" applyBorder="1" applyAlignment="1">
      <alignment vertical="center" wrapText="1"/>
    </xf>
    <xf numFmtId="164" fontId="0" fillId="0" borderId="0" xfId="1" applyFont="1" applyFill="1" applyBorder="1" applyAlignment="1">
      <alignment horizontal="left" vertical="center" wrapText="1"/>
    </xf>
    <xf numFmtId="164" fontId="0" fillId="0" borderId="0" xfId="1" applyFont="1" applyFill="1" applyBorder="1" applyAlignment="1">
      <alignment horizontal="left" vertical="center"/>
    </xf>
    <xf numFmtId="164" fontId="2" fillId="0" borderId="0" xfId="1" applyFont="1" applyFill="1" applyAlignment="1">
      <alignment vertical="center"/>
    </xf>
    <xf numFmtId="0" fontId="0" fillId="0" borderId="0" xfId="0" applyFont="1" applyFill="1" applyBorder="1" applyAlignment="1"/>
    <xf numFmtId="0" fontId="16" fillId="0" borderId="30" xfId="12" applyFont="1" applyBorder="1" applyAlignment="1">
      <alignment vertical="center"/>
    </xf>
    <xf numFmtId="167" fontId="10" fillId="0" borderId="30" xfId="11" applyNumberFormat="1" applyFont="1" applyFill="1" applyBorder="1" applyAlignment="1">
      <alignment vertical="center"/>
    </xf>
    <xf numFmtId="167" fontId="10" fillId="0" borderId="33" xfId="11" applyNumberFormat="1" applyFont="1" applyFill="1" applyBorder="1" applyAlignment="1">
      <alignment vertical="center"/>
    </xf>
    <xf numFmtId="0" fontId="16" fillId="0" borderId="31" xfId="12" applyFont="1" applyFill="1" applyBorder="1" applyAlignment="1">
      <alignment horizontal="right" vertical="center"/>
    </xf>
    <xf numFmtId="0" fontId="10" fillId="0" borderId="34" xfId="12" applyFont="1" applyBorder="1" applyAlignment="1">
      <alignment horizontal="center" vertical="center"/>
    </xf>
    <xf numFmtId="167" fontId="10" fillId="0" borderId="31" xfId="1" applyNumberFormat="1" applyFont="1" applyBorder="1" applyAlignment="1">
      <alignment vertical="center"/>
    </xf>
    <xf numFmtId="167" fontId="10" fillId="0" borderId="33" xfId="1" applyNumberFormat="1" applyFont="1" applyBorder="1" applyAlignment="1">
      <alignment vertical="center"/>
    </xf>
    <xf numFmtId="167" fontId="10" fillId="0" borderId="0" xfId="1" applyNumberFormat="1" applyFont="1" applyBorder="1"/>
    <xf numFmtId="0" fontId="16" fillId="0" borderId="2" xfId="12" applyFont="1" applyBorder="1" applyAlignment="1">
      <alignment vertical="center"/>
    </xf>
    <xf numFmtId="167" fontId="10" fillId="0" borderId="2" xfId="11" applyNumberFormat="1" applyFont="1" applyFill="1" applyBorder="1" applyAlignment="1">
      <alignment vertical="center"/>
    </xf>
    <xf numFmtId="167" fontId="10" fillId="0" borderId="1" xfId="11" applyNumberFormat="1" applyFont="1" applyFill="1" applyBorder="1" applyAlignment="1">
      <alignment vertical="center"/>
    </xf>
    <xf numFmtId="0" fontId="16" fillId="0" borderId="13" xfId="12" applyFont="1" applyBorder="1"/>
    <xf numFmtId="0" fontId="16" fillId="0" borderId="14" xfId="12" applyFont="1" applyBorder="1"/>
    <xf numFmtId="167" fontId="16" fillId="0" borderId="14" xfId="11" applyNumberFormat="1" applyFont="1" applyBorder="1"/>
    <xf numFmtId="167" fontId="16" fillId="0" borderId="14" xfId="12" applyNumberFormat="1" applyFont="1" applyBorder="1"/>
    <xf numFmtId="0" fontId="17" fillId="0" borderId="14" xfId="12" applyFont="1" applyFill="1" applyBorder="1" applyAlignment="1">
      <alignment horizontal="right"/>
    </xf>
    <xf numFmtId="0" fontId="17" fillId="0" borderId="14" xfId="12" applyFont="1" applyFill="1" applyBorder="1" applyAlignment="1">
      <alignment horizontal="center"/>
    </xf>
    <xf numFmtId="167" fontId="16" fillId="0" borderId="14" xfId="1" applyNumberFormat="1" applyFont="1" applyBorder="1"/>
    <xf numFmtId="167" fontId="16" fillId="0" borderId="11" xfId="1" applyNumberFormat="1" applyFont="1" applyBorder="1"/>
    <xf numFmtId="0" fontId="35" fillId="0" borderId="4" xfId="0" applyFont="1" applyFill="1" applyBorder="1" applyAlignment="1">
      <alignment vertical="center" wrapText="1"/>
    </xf>
    <xf numFmtId="0" fontId="43" fillId="13" borderId="4" xfId="0" applyFont="1" applyFill="1" applyBorder="1" applyAlignment="1">
      <alignment horizontal="center" vertical="center" wrapText="1"/>
    </xf>
    <xf numFmtId="0" fontId="43" fillId="13" borderId="5" xfId="0" applyFont="1" applyFill="1" applyBorder="1" applyAlignment="1">
      <alignment horizontal="center" vertical="center" wrapText="1"/>
    </xf>
    <xf numFmtId="0" fontId="43" fillId="13" borderId="6" xfId="0" applyFont="1" applyFill="1" applyBorder="1" applyAlignment="1">
      <alignment horizontal="center" vertical="center" wrapText="1"/>
    </xf>
    <xf numFmtId="0" fontId="43" fillId="13" borderId="23" xfId="0" applyFont="1" applyFill="1" applyBorder="1" applyAlignment="1">
      <alignment horizontal="left" vertical="center" wrapText="1"/>
    </xf>
    <xf numFmtId="0" fontId="43" fillId="13" borderId="22" xfId="0" applyFont="1" applyFill="1" applyBorder="1" applyAlignment="1">
      <alignment horizontal="left" vertical="center" wrapText="1"/>
    </xf>
    <xf numFmtId="0" fontId="43" fillId="13" borderId="24" xfId="0" applyFont="1" applyFill="1" applyBorder="1" applyAlignment="1">
      <alignment horizontal="left" vertical="center" wrapText="1"/>
    </xf>
    <xf numFmtId="0" fontId="43" fillId="13" borderId="8" xfId="0" applyFont="1" applyFill="1" applyBorder="1" applyAlignment="1">
      <alignment horizontal="left" vertical="center" wrapText="1"/>
    </xf>
    <xf numFmtId="0" fontId="43" fillId="13" borderId="0" xfId="0" applyFont="1" applyFill="1" applyBorder="1" applyAlignment="1">
      <alignment horizontal="left" vertical="center" wrapText="1"/>
    </xf>
    <xf numFmtId="0" fontId="43" fillId="13" borderId="9" xfId="0" applyFont="1" applyFill="1" applyBorder="1" applyAlignment="1">
      <alignment horizontal="left" vertical="center" wrapText="1"/>
    </xf>
    <xf numFmtId="0" fontId="43" fillId="13" borderId="13" xfId="0" applyFont="1" applyFill="1" applyBorder="1" applyAlignment="1">
      <alignment horizontal="left" vertical="center" wrapText="1"/>
    </xf>
    <xf numFmtId="0" fontId="43" fillId="13" borderId="14" xfId="0" applyFont="1" applyFill="1" applyBorder="1" applyAlignment="1">
      <alignment horizontal="left" vertical="center" wrapText="1"/>
    </xf>
    <xf numFmtId="0" fontId="43" fillId="13" borderId="11" xfId="0" applyFont="1" applyFill="1" applyBorder="1" applyAlignment="1">
      <alignment horizontal="left" vertical="center" wrapText="1"/>
    </xf>
    <xf numFmtId="0" fontId="12" fillId="0" borderId="0" xfId="0" applyFont="1" applyBorder="1" applyAlignment="1">
      <alignment horizontal="center"/>
    </xf>
    <xf numFmtId="0" fontId="8" fillId="0" borderId="0" xfId="0" applyFont="1" applyBorder="1" applyAlignment="1">
      <alignment horizontal="center"/>
    </xf>
    <xf numFmtId="0" fontId="13" fillId="0" borderId="22" xfId="0" applyFont="1" applyFill="1" applyBorder="1" applyAlignment="1">
      <alignment horizontal="left" wrapText="1"/>
    </xf>
    <xf numFmtId="0" fontId="8" fillId="0" borderId="0" xfId="0" applyFont="1" applyAlignment="1">
      <alignment horizontal="center" vertical="center"/>
    </xf>
    <xf numFmtId="0" fontId="21" fillId="0" borderId="0" xfId="14" applyFont="1" applyAlignment="1">
      <alignment horizontal="center"/>
    </xf>
    <xf numFmtId="0" fontId="7" fillId="0" borderId="26" xfId="12" applyFont="1" applyBorder="1" applyAlignment="1">
      <alignment horizontal="left" wrapText="1"/>
    </xf>
    <xf numFmtId="164" fontId="31" fillId="4" borderId="23" xfId="1" applyFont="1" applyFill="1" applyBorder="1" applyAlignment="1">
      <alignment horizontal="center" vertical="center" wrapText="1"/>
    </xf>
    <xf numFmtId="164" fontId="31" fillId="4" borderId="22" xfId="1" applyFont="1" applyFill="1" applyBorder="1" applyAlignment="1">
      <alignment horizontal="center" vertical="center" wrapText="1"/>
    </xf>
    <xf numFmtId="164" fontId="31" fillId="4" borderId="24" xfId="1" applyFont="1" applyFill="1" applyBorder="1" applyAlignment="1">
      <alignment horizontal="center" vertical="center" wrapText="1"/>
    </xf>
    <xf numFmtId="0" fontId="33" fillId="4" borderId="23" xfId="12" applyFont="1" applyFill="1" applyBorder="1" applyAlignment="1">
      <alignment horizontal="center" vertical="center"/>
    </xf>
    <xf numFmtId="0" fontId="33" fillId="4" borderId="8" xfId="12" applyFont="1" applyFill="1" applyBorder="1" applyAlignment="1">
      <alignment horizontal="center" vertical="center"/>
    </xf>
    <xf numFmtId="0" fontId="31" fillId="4" borderId="24" xfId="12" applyFont="1" applyFill="1" applyBorder="1" applyAlignment="1">
      <alignment horizontal="center" vertical="center"/>
    </xf>
    <xf numFmtId="0" fontId="31" fillId="4" borderId="9" xfId="12" applyFont="1" applyFill="1" applyBorder="1" applyAlignment="1">
      <alignment horizontal="center" vertical="center"/>
    </xf>
    <xf numFmtId="164" fontId="31" fillId="4" borderId="4" xfId="1" applyFont="1" applyFill="1" applyBorder="1" applyAlignment="1">
      <alignment horizontal="center" vertical="center" wrapText="1"/>
    </xf>
    <xf numFmtId="164" fontId="31" fillId="4" borderId="5" xfId="1" applyFont="1" applyFill="1" applyBorder="1" applyAlignment="1">
      <alignment horizontal="center" vertical="center" wrapText="1"/>
    </xf>
    <xf numFmtId="164" fontId="31" fillId="4" borderId="6" xfId="1" applyFont="1" applyFill="1" applyBorder="1" applyAlignment="1">
      <alignment horizontal="center" vertical="center" wrapText="1"/>
    </xf>
    <xf numFmtId="164" fontId="31" fillId="4" borderId="1" xfId="1" applyFont="1" applyFill="1" applyBorder="1" applyAlignment="1">
      <alignment horizontal="center" vertical="center" wrapText="1"/>
    </xf>
    <xf numFmtId="0" fontId="31" fillId="4" borderId="4" xfId="12" applyFont="1" applyFill="1" applyBorder="1" applyAlignment="1">
      <alignment horizontal="center" vertical="center" wrapText="1"/>
    </xf>
    <xf numFmtId="0" fontId="31" fillId="4" borderId="5" xfId="12" applyFont="1" applyFill="1" applyBorder="1" applyAlignment="1">
      <alignment horizontal="center" vertical="center" wrapText="1"/>
    </xf>
    <xf numFmtId="0" fontId="34" fillId="0" borderId="0" xfId="12" applyFont="1" applyBorder="1" applyAlignment="1">
      <alignment horizontal="center"/>
    </xf>
    <xf numFmtId="0" fontId="32" fillId="0" borderId="0" xfId="12" applyFont="1" applyBorder="1" applyAlignment="1">
      <alignment horizontal="center"/>
    </xf>
    <xf numFmtId="0" fontId="0" fillId="0" borderId="0" xfId="0" applyFill="1" applyBorder="1" applyAlignment="1">
      <alignment horizontal="left" wrapText="1"/>
    </xf>
    <xf numFmtId="0" fontId="54" fillId="0" borderId="0" xfId="0" applyFont="1" applyAlignment="1">
      <alignment horizontal="center"/>
    </xf>
    <xf numFmtId="0" fontId="54" fillId="0" borderId="0" xfId="0" applyFont="1" applyAlignment="1">
      <alignment horizontal="center" wrapText="1"/>
    </xf>
    <xf numFmtId="0" fontId="3" fillId="0" borderId="0" xfId="0" applyFont="1" applyAlignment="1">
      <alignment horizontal="center"/>
    </xf>
    <xf numFmtId="0" fontId="0" fillId="0" borderId="0" xfId="0" applyFill="1" applyBorder="1" applyAlignment="1">
      <alignment horizontal="left" vertical="center" wrapText="1"/>
    </xf>
    <xf numFmtId="0" fontId="2" fillId="0" borderId="0" xfId="0" applyFont="1" applyAlignment="1">
      <alignment horizontal="center"/>
    </xf>
    <xf numFmtId="0" fontId="0" fillId="0" borderId="0" xfId="0" applyAlignment="1">
      <alignment horizontal="left" vertical="center" wrapText="1"/>
    </xf>
    <xf numFmtId="0" fontId="40" fillId="0" borderId="0" xfId="0" applyFont="1" applyFill="1" applyAlignment="1">
      <alignment horizontal="left" vertical="center" wrapText="1"/>
    </xf>
    <xf numFmtId="0" fontId="0" fillId="0" borderId="0" xfId="0" applyFill="1" applyAlignment="1">
      <alignment horizontal="left" vertical="center" wrapText="1"/>
    </xf>
    <xf numFmtId="0" fontId="17" fillId="0" borderId="0" xfId="12" applyFont="1" applyAlignment="1">
      <alignment horizontal="left" wrapText="1"/>
    </xf>
    <xf numFmtId="0" fontId="10" fillId="0" borderId="23" xfId="12" applyFont="1" applyBorder="1" applyAlignment="1">
      <alignment horizontal="center" vertical="center"/>
    </xf>
    <xf numFmtId="0" fontId="10" fillId="0" borderId="22" xfId="12" applyFont="1" applyBorder="1" applyAlignment="1">
      <alignment horizontal="center" vertical="center"/>
    </xf>
    <xf numFmtId="0" fontId="10" fillId="0" borderId="24" xfId="12" applyFont="1" applyBorder="1" applyAlignment="1">
      <alignment horizontal="center" vertical="center"/>
    </xf>
    <xf numFmtId="0" fontId="10" fillId="0" borderId="8" xfId="12" applyFont="1" applyBorder="1" applyAlignment="1">
      <alignment horizontal="center" vertical="center"/>
    </xf>
    <xf numFmtId="0" fontId="10" fillId="0" borderId="0" xfId="12" applyFont="1" applyBorder="1" applyAlignment="1">
      <alignment horizontal="center" vertical="center"/>
    </xf>
    <xf numFmtId="0" fontId="10" fillId="0" borderId="9" xfId="12" applyFont="1" applyBorder="1" applyAlignment="1">
      <alignment horizontal="center" vertical="center"/>
    </xf>
    <xf numFmtId="0" fontId="17" fillId="0" borderId="1" xfId="12" applyFont="1" applyBorder="1" applyAlignment="1">
      <alignment horizontal="center" vertical="center" wrapText="1"/>
    </xf>
    <xf numFmtId="0" fontId="10" fillId="0" borderId="3" xfId="12" applyFont="1" applyBorder="1" applyAlignment="1">
      <alignment horizontal="center" vertical="center"/>
    </xf>
    <xf numFmtId="0" fontId="10" fillId="0" borderId="7" xfId="12" applyFont="1" applyBorder="1" applyAlignment="1">
      <alignment horizontal="center" vertical="center"/>
    </xf>
    <xf numFmtId="0" fontId="30" fillId="0" borderId="0" xfId="12" applyFont="1" applyFill="1" applyBorder="1" applyAlignment="1">
      <alignment horizontal="left" wrapText="1"/>
    </xf>
    <xf numFmtId="0" fontId="10" fillId="0" borderId="31" xfId="12" applyFont="1" applyBorder="1" applyAlignment="1">
      <alignment horizontal="center" vertical="center"/>
    </xf>
    <xf numFmtId="0" fontId="10" fillId="0" borderId="32" xfId="12" applyFont="1" applyBorder="1" applyAlignment="1">
      <alignment horizontal="center" vertical="center"/>
    </xf>
    <xf numFmtId="0" fontId="36" fillId="0" borderId="0" xfId="0" applyFont="1" applyFill="1" applyBorder="1" applyAlignment="1">
      <alignment horizontal="center" vertical="center"/>
    </xf>
    <xf numFmtId="0" fontId="35" fillId="0" borderId="4" xfId="0" applyFont="1" applyFill="1" applyBorder="1" applyAlignment="1">
      <alignment horizontal="left" vertical="center" wrapText="1"/>
    </xf>
    <xf numFmtId="0" fontId="35" fillId="0" borderId="5" xfId="0" applyFont="1" applyFill="1" applyBorder="1" applyAlignment="1">
      <alignment horizontal="left" vertical="center" wrapText="1"/>
    </xf>
    <xf numFmtId="0" fontId="35" fillId="0" borderId="6" xfId="0" applyFont="1" applyFill="1" applyBorder="1" applyAlignment="1">
      <alignment horizontal="left" vertical="center" wrapText="1"/>
    </xf>
    <xf numFmtId="0" fontId="36" fillId="0" borderId="0" xfId="0" applyFont="1" applyFill="1" applyBorder="1" applyAlignment="1">
      <alignment horizontal="left" vertical="center"/>
    </xf>
  </cellXfs>
  <cellStyles count="126">
    <cellStyle name="Millares" xfId="1" builtinId="3"/>
    <cellStyle name="Millares 10" xfId="119" xr:uid="{00000000-0005-0000-0000-000001000000}"/>
    <cellStyle name="Millares 11" xfId="120" xr:uid="{00000000-0005-0000-0000-000002000000}"/>
    <cellStyle name="Millares 12" xfId="122" xr:uid="{00000000-0005-0000-0000-000003000000}"/>
    <cellStyle name="Millares 12 2" xfId="124" xr:uid="{00000000-0005-0000-0000-000004000000}"/>
    <cellStyle name="Millares 2" xfId="5" xr:uid="{00000000-0005-0000-0000-000005000000}"/>
    <cellStyle name="Millares 2 2" xfId="34" xr:uid="{00000000-0005-0000-0000-000006000000}"/>
    <cellStyle name="Millares 2 2 2" xfId="44" xr:uid="{00000000-0005-0000-0000-000007000000}"/>
    <cellStyle name="Millares 2 2 2 2" xfId="72" xr:uid="{00000000-0005-0000-0000-000008000000}"/>
    <cellStyle name="Millares 2 2 2 3" xfId="100" xr:uid="{00000000-0005-0000-0000-000009000000}"/>
    <cellStyle name="Millares 2 2 3" xfId="53" xr:uid="{00000000-0005-0000-0000-00000A000000}"/>
    <cellStyle name="Millares 2 2 3 2" xfId="81" xr:uid="{00000000-0005-0000-0000-00000B000000}"/>
    <cellStyle name="Millares 2 2 3 3" xfId="109" xr:uid="{00000000-0005-0000-0000-00000C000000}"/>
    <cellStyle name="Millares 2 2 4" xfId="61" xr:uid="{00000000-0005-0000-0000-00000D000000}"/>
    <cellStyle name="Millares 2 2 5" xfId="89" xr:uid="{00000000-0005-0000-0000-00000E000000}"/>
    <cellStyle name="Millares 2 3" xfId="36" xr:uid="{00000000-0005-0000-0000-00000F000000}"/>
    <cellStyle name="Millares 2 3 2" xfId="46" xr:uid="{00000000-0005-0000-0000-000010000000}"/>
    <cellStyle name="Millares 2 3 2 2" xfId="74" xr:uid="{00000000-0005-0000-0000-000011000000}"/>
    <cellStyle name="Millares 2 3 2 3" xfId="102" xr:uid="{00000000-0005-0000-0000-000012000000}"/>
    <cellStyle name="Millares 2 3 3" xfId="55" xr:uid="{00000000-0005-0000-0000-000013000000}"/>
    <cellStyle name="Millares 2 3 3 2" xfId="83" xr:uid="{00000000-0005-0000-0000-000014000000}"/>
    <cellStyle name="Millares 2 3 3 3" xfId="111" xr:uid="{00000000-0005-0000-0000-000015000000}"/>
    <cellStyle name="Millares 2 3 4" xfId="65" xr:uid="{00000000-0005-0000-0000-000016000000}"/>
    <cellStyle name="Millares 2 3 5" xfId="93" xr:uid="{00000000-0005-0000-0000-000017000000}"/>
    <cellStyle name="Millares 2 4" xfId="40" xr:uid="{00000000-0005-0000-0000-000018000000}"/>
    <cellStyle name="Millares 2 4 2" xfId="68" xr:uid="{00000000-0005-0000-0000-000019000000}"/>
    <cellStyle name="Millares 2 4 3" xfId="96" xr:uid="{00000000-0005-0000-0000-00001A000000}"/>
    <cellStyle name="Millares 2 5" xfId="49" xr:uid="{00000000-0005-0000-0000-00001B000000}"/>
    <cellStyle name="Millares 2 5 2" xfId="77" xr:uid="{00000000-0005-0000-0000-00001C000000}"/>
    <cellStyle name="Millares 2 5 3" xfId="105" xr:uid="{00000000-0005-0000-0000-00001D000000}"/>
    <cellStyle name="Millares 2 6" xfId="86" xr:uid="{00000000-0005-0000-0000-00001E000000}"/>
    <cellStyle name="Millares 2 7" xfId="29" xr:uid="{00000000-0005-0000-0000-00001F000000}"/>
    <cellStyle name="Millares 2 8" xfId="125" xr:uid="{00000000-0005-0000-0000-000020000000}"/>
    <cellStyle name="Millares 3" xfId="6" xr:uid="{00000000-0005-0000-0000-000021000000}"/>
    <cellStyle name="Millares 4" xfId="11" xr:uid="{00000000-0005-0000-0000-000022000000}"/>
    <cellStyle name="Millares 4 2" xfId="58" xr:uid="{00000000-0005-0000-0000-000023000000}"/>
    <cellStyle name="Millares 5" xfId="8" xr:uid="{00000000-0005-0000-0000-000024000000}"/>
    <cellStyle name="Millares 6" xfId="7" xr:uid="{00000000-0005-0000-0000-000025000000}"/>
    <cellStyle name="Millares 6 2" xfId="115" xr:uid="{00000000-0005-0000-0000-000026000000}"/>
    <cellStyle name="Millares 6 3" xfId="113" xr:uid="{00000000-0005-0000-0000-000027000000}"/>
    <cellStyle name="Millares 7" xfId="17" xr:uid="{00000000-0005-0000-0000-000028000000}"/>
    <cellStyle name="Millares 7 2" xfId="114" xr:uid="{00000000-0005-0000-0000-000029000000}"/>
    <cellStyle name="Millares 8" xfId="18" xr:uid="{00000000-0005-0000-0000-00002A000000}"/>
    <cellStyle name="Millares 8 2" xfId="25" xr:uid="{00000000-0005-0000-0000-00002B000000}"/>
    <cellStyle name="Millares 9" xfId="117" xr:uid="{00000000-0005-0000-0000-00002C000000}"/>
    <cellStyle name="Normal" xfId="0" builtinId="0"/>
    <cellStyle name="Normal 10" xfId="118" xr:uid="{00000000-0005-0000-0000-00002E000000}"/>
    <cellStyle name="Normal 11" xfId="30" xr:uid="{00000000-0005-0000-0000-00002F000000}"/>
    <cellStyle name="Normal 11 2" xfId="35" xr:uid="{00000000-0005-0000-0000-000030000000}"/>
    <cellStyle name="Normal 11 2 2" xfId="45" xr:uid="{00000000-0005-0000-0000-000031000000}"/>
    <cellStyle name="Normal 11 2 2 2" xfId="73" xr:uid="{00000000-0005-0000-0000-000032000000}"/>
    <cellStyle name="Normal 11 2 2 3" xfId="101" xr:uid="{00000000-0005-0000-0000-000033000000}"/>
    <cellStyle name="Normal 11 2 3" xfId="54" xr:uid="{00000000-0005-0000-0000-000034000000}"/>
    <cellStyle name="Normal 11 2 3 2" xfId="82" xr:uid="{00000000-0005-0000-0000-000035000000}"/>
    <cellStyle name="Normal 11 2 3 3" xfId="110" xr:uid="{00000000-0005-0000-0000-000036000000}"/>
    <cellStyle name="Normal 11 2 4" xfId="64" xr:uid="{00000000-0005-0000-0000-000037000000}"/>
    <cellStyle name="Normal 11 2 5" xfId="92" xr:uid="{00000000-0005-0000-0000-000038000000}"/>
    <cellStyle name="Normal 11 3" xfId="37" xr:uid="{00000000-0005-0000-0000-000039000000}"/>
    <cellStyle name="Normal 11 3 2" xfId="47" xr:uid="{00000000-0005-0000-0000-00003A000000}"/>
    <cellStyle name="Normal 11 3 2 2" xfId="75" xr:uid="{00000000-0005-0000-0000-00003B000000}"/>
    <cellStyle name="Normal 11 3 2 3" xfId="103" xr:uid="{00000000-0005-0000-0000-00003C000000}"/>
    <cellStyle name="Normal 11 3 3" xfId="56" xr:uid="{00000000-0005-0000-0000-00003D000000}"/>
    <cellStyle name="Normal 11 3 3 2" xfId="84" xr:uid="{00000000-0005-0000-0000-00003E000000}"/>
    <cellStyle name="Normal 11 3 3 3" xfId="112" xr:uid="{00000000-0005-0000-0000-00003F000000}"/>
    <cellStyle name="Normal 11 3 4" xfId="66" xr:uid="{00000000-0005-0000-0000-000040000000}"/>
    <cellStyle name="Normal 11 3 5" xfId="94" xr:uid="{00000000-0005-0000-0000-000041000000}"/>
    <cellStyle name="Normal 11 4" xfId="41" xr:uid="{00000000-0005-0000-0000-000042000000}"/>
    <cellStyle name="Normal 11 4 2" xfId="69" xr:uid="{00000000-0005-0000-0000-000043000000}"/>
    <cellStyle name="Normal 11 4 3" xfId="97" xr:uid="{00000000-0005-0000-0000-000044000000}"/>
    <cellStyle name="Normal 11 5" xfId="50" xr:uid="{00000000-0005-0000-0000-000045000000}"/>
    <cellStyle name="Normal 11 5 2" xfId="78" xr:uid="{00000000-0005-0000-0000-000046000000}"/>
    <cellStyle name="Normal 11 5 3" xfId="106" xr:uid="{00000000-0005-0000-0000-000047000000}"/>
    <cellStyle name="Normal 11 6" xfId="62" xr:uid="{00000000-0005-0000-0000-000048000000}"/>
    <cellStyle name="Normal 11 7" xfId="90" xr:uid="{00000000-0005-0000-0000-000049000000}"/>
    <cellStyle name="Normal 12" xfId="12" xr:uid="{00000000-0005-0000-0000-00004A000000}"/>
    <cellStyle name="Normal 13" xfId="121" xr:uid="{00000000-0005-0000-0000-00004B000000}"/>
    <cellStyle name="Normal 13 2" xfId="123" xr:uid="{00000000-0005-0000-0000-00004C000000}"/>
    <cellStyle name="Normal 14" xfId="31" xr:uid="{00000000-0005-0000-0000-00004D000000}"/>
    <cellStyle name="Normal 2" xfId="3" xr:uid="{00000000-0005-0000-0000-00004E000000}"/>
    <cellStyle name="Normal 2 2" xfId="19" xr:uid="{00000000-0005-0000-0000-00004F000000}"/>
    <cellStyle name="Normal 2 3" xfId="20" xr:uid="{00000000-0005-0000-0000-000050000000}"/>
    <cellStyle name="Normal 2 4" xfId="21" xr:uid="{00000000-0005-0000-0000-000051000000}"/>
    <cellStyle name="Normal 2 5" xfId="23" xr:uid="{00000000-0005-0000-0000-000052000000}"/>
    <cellStyle name="Normal 2 6" xfId="14" xr:uid="{00000000-0005-0000-0000-000053000000}"/>
    <cellStyle name="Normal 2 7" xfId="24" xr:uid="{00000000-0005-0000-0000-000054000000}"/>
    <cellStyle name="Normal 2 8" xfId="27" xr:uid="{00000000-0005-0000-0000-000055000000}"/>
    <cellStyle name="Normal 2 9" xfId="87" xr:uid="{00000000-0005-0000-0000-000056000000}"/>
    <cellStyle name="Normal 3" xfId="4" xr:uid="{00000000-0005-0000-0000-000057000000}"/>
    <cellStyle name="Normal 3 2" xfId="38" xr:uid="{00000000-0005-0000-0000-000058000000}"/>
    <cellStyle name="Normal 4" xfId="13" xr:uid="{00000000-0005-0000-0000-000059000000}"/>
    <cellStyle name="Normal 4 2" xfId="57" xr:uid="{00000000-0005-0000-0000-00005A000000}"/>
    <cellStyle name="Normal 5" xfId="16" xr:uid="{00000000-0005-0000-0000-00005B000000}"/>
    <cellStyle name="Normal 5 2" xfId="22" xr:uid="{00000000-0005-0000-0000-00005C000000}"/>
    <cellStyle name="Normal 6" xfId="59" xr:uid="{00000000-0005-0000-0000-00005D000000}"/>
    <cellStyle name="Normal 7" xfId="10" xr:uid="{00000000-0005-0000-0000-00005E000000}"/>
    <cellStyle name="Normal 8" xfId="26" xr:uid="{00000000-0005-0000-0000-00005F000000}"/>
    <cellStyle name="Normal 9" xfId="116" xr:uid="{00000000-0005-0000-0000-000060000000}"/>
    <cellStyle name="Porcentaje" xfId="2" builtinId="5"/>
    <cellStyle name="Porcentaje 2" xfId="9" xr:uid="{00000000-0005-0000-0000-000062000000}"/>
    <cellStyle name="Porcentaje 3" xfId="15" xr:uid="{00000000-0005-0000-0000-000063000000}"/>
    <cellStyle name="Porcentual 2" xfId="28" xr:uid="{00000000-0005-0000-0000-000064000000}"/>
    <cellStyle name="Porcentual 2 2" xfId="33" xr:uid="{00000000-0005-0000-0000-000065000000}"/>
    <cellStyle name="Porcentual 2 2 2" xfId="43" xr:uid="{00000000-0005-0000-0000-000066000000}"/>
    <cellStyle name="Porcentual 2 2 2 2" xfId="71" xr:uid="{00000000-0005-0000-0000-000067000000}"/>
    <cellStyle name="Porcentual 2 2 2 3" xfId="99" xr:uid="{00000000-0005-0000-0000-000068000000}"/>
    <cellStyle name="Porcentual 2 2 3" xfId="52" xr:uid="{00000000-0005-0000-0000-000069000000}"/>
    <cellStyle name="Porcentual 2 2 3 2" xfId="80" xr:uid="{00000000-0005-0000-0000-00006A000000}"/>
    <cellStyle name="Porcentual 2 2 3 3" xfId="108" xr:uid="{00000000-0005-0000-0000-00006B000000}"/>
    <cellStyle name="Porcentual 2 2 4" xfId="60" xr:uid="{00000000-0005-0000-0000-00006C000000}"/>
    <cellStyle name="Porcentual 2 2 5" xfId="88" xr:uid="{00000000-0005-0000-0000-00006D000000}"/>
    <cellStyle name="Porcentual 2 3" xfId="32" xr:uid="{00000000-0005-0000-0000-00006E000000}"/>
    <cellStyle name="Porcentual 2 3 2" xfId="42" xr:uid="{00000000-0005-0000-0000-00006F000000}"/>
    <cellStyle name="Porcentual 2 3 2 2" xfId="70" xr:uid="{00000000-0005-0000-0000-000070000000}"/>
    <cellStyle name="Porcentual 2 3 2 3" xfId="98" xr:uid="{00000000-0005-0000-0000-000071000000}"/>
    <cellStyle name="Porcentual 2 3 3" xfId="51" xr:uid="{00000000-0005-0000-0000-000072000000}"/>
    <cellStyle name="Porcentual 2 3 3 2" xfId="79" xr:uid="{00000000-0005-0000-0000-000073000000}"/>
    <cellStyle name="Porcentual 2 3 3 3" xfId="107" xr:uid="{00000000-0005-0000-0000-000074000000}"/>
    <cellStyle name="Porcentual 2 3 4" xfId="63" xr:uid="{00000000-0005-0000-0000-000075000000}"/>
    <cellStyle name="Porcentual 2 3 5" xfId="91" xr:uid="{00000000-0005-0000-0000-000076000000}"/>
    <cellStyle name="Porcentual 2 4" xfId="39" xr:uid="{00000000-0005-0000-0000-000077000000}"/>
    <cellStyle name="Porcentual 2 4 2" xfId="67" xr:uid="{00000000-0005-0000-0000-000078000000}"/>
    <cellStyle name="Porcentual 2 4 3" xfId="95" xr:uid="{00000000-0005-0000-0000-000079000000}"/>
    <cellStyle name="Porcentual 2 5" xfId="48" xr:uid="{00000000-0005-0000-0000-00007A000000}"/>
    <cellStyle name="Porcentual 2 5 2" xfId="76" xr:uid="{00000000-0005-0000-0000-00007B000000}"/>
    <cellStyle name="Porcentual 2 5 3" xfId="104" xr:uid="{00000000-0005-0000-0000-00007C000000}"/>
    <cellStyle name="Porcentual 2 6" xfId="85" xr:uid="{00000000-0005-0000-0000-00007D000000}"/>
  </cellStyles>
  <dxfs count="80">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rgb="FF000000"/>
        </top>
        <bottom style="thin">
          <color indexed="64"/>
        </bottom>
      </border>
    </dxf>
    <dxf>
      <font>
        <b val="0"/>
        <i val="0"/>
        <strike val="0"/>
        <condense val="0"/>
        <extend val="0"/>
        <outline val="0"/>
        <shadow val="0"/>
        <u val="none"/>
        <vertAlign val="baseline"/>
        <sz val="11"/>
        <color theme="1"/>
        <name val="Calibri"/>
        <family val="2"/>
        <scheme val="minor"/>
      </font>
      <numFmt numFmtId="165" formatCode="_(* #,##0.00_);_(* \(#,##0.00\);_(* &quot;-&quot;??_);_(@_)"/>
      <fill>
        <patternFill patternType="none">
          <fgColor indexed="64"/>
          <bgColor indexed="65"/>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numFmt numFmtId="165" formatCode="_(* #,##0.00_);_(* \(#,##0.00\);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5" formatCode="_(* #,##0.00_);_(* \(#,##0.00\);_(* &quot;-&quot;??_);_(@_)"/>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auto="1"/>
        </patternFill>
      </fill>
      <border outline="0">
        <right style="thin">
          <color indexed="64"/>
        </right>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auto="1"/>
        </patternFill>
      </fill>
      <alignment horizontal="left" vertical="center" textRotation="0" wrapText="1" indent="0" justifyLastLine="0" shrinkToFit="0" readingOrder="0"/>
      <border outline="0">
        <right style="thin">
          <color indexed="64"/>
        </right>
      </border>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auto="1"/>
        </patternFill>
      </fill>
      <border outline="0">
        <right style="thin">
          <color indexed="64"/>
        </right>
      </border>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rgb="FF000000"/>
        </top>
      </border>
    </dxf>
    <dxf>
      <font>
        <b/>
      </font>
      <fill>
        <patternFill patternType="none">
          <fgColor rgb="FF000000"/>
          <bgColor auto="1"/>
        </patternFill>
      </fill>
    </dxf>
    <dxf>
      <border outline="0">
        <left style="thin">
          <color rgb="FF000000"/>
        </left>
        <right style="thin">
          <color rgb="FF000000"/>
        </righ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rgb="FF000000"/>
        </top>
        <bottom style="thin">
          <color indexed="64"/>
        </bottom>
      </border>
    </dxf>
    <dxf>
      <font>
        <b/>
        <i val="0"/>
        <strike val="0"/>
        <condense val="0"/>
        <extend val="0"/>
        <outline val="0"/>
        <shadow val="0"/>
        <u val="none"/>
        <vertAlign val="baseline"/>
        <sz val="11"/>
        <color theme="1"/>
        <name val="Calibri"/>
        <family val="2"/>
        <scheme val="minor"/>
      </font>
      <numFmt numFmtId="165" formatCode="_(* #,##0.00_);_(* \(#,##0.00\);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5" formatCode="_(* #,##0.00_);_(* \(#,##0.00\);_(* &quot;-&quot;??_);_(@_)"/>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auto="1"/>
        </patternFill>
      </fill>
      <border outline="0">
        <right style="thin">
          <color indexed="64"/>
        </right>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auto="1"/>
        </patternFill>
      </fill>
      <border outline="0">
        <right style="thin">
          <color indexed="64"/>
        </right>
      </border>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auto="1"/>
        </patternFill>
      </fill>
      <border outline="0">
        <right style="thin">
          <color indexed="64"/>
        </right>
      </border>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rgb="FF000000"/>
        </top>
      </border>
    </dxf>
    <dxf>
      <font>
        <b/>
      </font>
      <fill>
        <patternFill patternType="none">
          <fgColor rgb="FF000000"/>
          <bgColor auto="1"/>
        </patternFill>
      </fill>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auto="1"/>
        <name val="Franklin Gothic Book"/>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Franklin Gothic Book"/>
        <family val="2"/>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Franklin Gothic Book"/>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Franklin Gothic Book"/>
        <family val="2"/>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Franklin Gothic Book"/>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Franklin Gothic Book"/>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Franklin Gothic Book"/>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Franklin Gothic Book"/>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Franklin Gothic Book"/>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Franklin Gothic Book"/>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Franklin Gothic Book"/>
        <family val="2"/>
        <scheme val="none"/>
      </font>
      <numFmt numFmtId="168" formatCode="&quot;₡&quot;#,##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Franklin Gothic Book"/>
        <family val="2"/>
        <scheme val="none"/>
      </font>
      <numFmt numFmtId="168"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Franklin Gothic Book"/>
        <family val="2"/>
        <scheme val="none"/>
      </font>
      <numFmt numFmtId="168" formatCode="&quot;₡&quot;#,##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Franklin Gothic Book"/>
        <family val="2"/>
        <scheme val="none"/>
      </font>
      <numFmt numFmtId="168"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Franklin Gothic Book"/>
        <family val="2"/>
        <scheme val="none"/>
      </font>
      <numFmt numFmtId="168" formatCode="&quot;₡&quot;#,##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Franklin Gothic Book"/>
        <family val="2"/>
        <scheme val="none"/>
      </font>
      <numFmt numFmtId="168"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Franklin Gothic Book"/>
        <family val="2"/>
        <scheme val="none"/>
      </font>
      <numFmt numFmtId="168" formatCode="&quot;₡&quot;#,##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Franklin Gothic Book"/>
        <family val="2"/>
        <scheme val="none"/>
      </font>
      <numFmt numFmtId="168"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Franklin Gothic Book"/>
        <family val="2"/>
        <scheme val="none"/>
      </font>
      <numFmt numFmtId="168" formatCode="&quot;₡&quot;#,##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Franklin Gothic Book"/>
        <scheme val="none"/>
      </font>
      <numFmt numFmtId="168"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Franklin Gothic Book"/>
        <family val="2"/>
        <scheme val="none"/>
      </font>
      <numFmt numFmtId="168" formatCode="&quot;₡&quot;#,##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Franklin Gothic Book"/>
        <family val="2"/>
        <scheme val="none"/>
      </font>
      <numFmt numFmtId="168"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Franklin Gothic Book"/>
        <family val="2"/>
        <scheme val="none"/>
      </font>
      <numFmt numFmtId="168" formatCode="&quot;₡&quot;#,##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Franklin Gothic Book"/>
        <family val="2"/>
        <scheme val="none"/>
      </font>
      <numFmt numFmtId="168"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Franklin Gothic Book"/>
        <family val="2"/>
        <scheme val="none"/>
      </font>
      <numFmt numFmtId="168" formatCode="&quot;₡&quot;#,##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Franklin Gothic Book"/>
        <family val="2"/>
        <scheme val="none"/>
      </font>
      <numFmt numFmtId="168"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Franklin Gothic Book"/>
        <family val="2"/>
        <scheme val="none"/>
      </font>
      <numFmt numFmtId="168" formatCode="&quot;₡&quot;#,##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Franklin Gothic Book"/>
        <family val="2"/>
        <scheme val="none"/>
      </font>
      <numFmt numFmtId="168"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Franklin Gothic Book"/>
        <family val="2"/>
        <scheme val="none"/>
      </font>
      <numFmt numFmtId="168" formatCode="&quot;₡&quot;#,##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Franklin Gothic Book"/>
        <family val="2"/>
        <scheme val="none"/>
      </font>
      <numFmt numFmtId="168"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Franklin Gothic Book"/>
        <family val="2"/>
        <scheme val="none"/>
      </font>
      <numFmt numFmtId="168" formatCode="&quot;₡&quot;#,##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Franklin Gothic Book"/>
        <family val="2"/>
        <scheme val="none"/>
      </font>
      <numFmt numFmtId="168"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Franklin Gothic Book"/>
        <family val="2"/>
        <scheme val="none"/>
      </font>
      <numFmt numFmtId="168" formatCode="&quot;₡&quot;#,##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Franklin Gothic Book"/>
        <scheme val="none"/>
      </font>
      <numFmt numFmtId="168"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Franklin Gothic Book"/>
        <family val="2"/>
        <scheme val="none"/>
      </font>
      <numFmt numFmtId="168" formatCode="&quot;₡&quot;#,##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Franklin Gothic Book"/>
        <family val="2"/>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Franklin Gothic Book"/>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Franklin Gothic Book"/>
        <family val="2"/>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Franklin Gothic Book"/>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Franklin Gothic Book"/>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Franklin Gothic Book"/>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rgb="FF000000"/>
        </right>
        <top style="medium">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0"/>
        <name val="Franklin Gothic Book"/>
        <scheme val="none"/>
      </font>
      <fill>
        <patternFill patternType="solid">
          <fgColor indexed="64"/>
          <bgColor rgb="FF75702B"/>
        </patternFill>
      </fill>
      <alignment horizontal="center" vertical="center" textRotation="0" wrapText="1" indent="0" justifyLastLine="0" shrinkToFit="0" readingOrder="0"/>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213253</xdr:colOff>
      <xdr:row>2</xdr:row>
      <xdr:rowOff>130173</xdr:rowOff>
    </xdr:from>
    <xdr:to>
      <xdr:col>1</xdr:col>
      <xdr:colOff>1111132</xdr:colOff>
      <xdr:row>8</xdr:row>
      <xdr:rowOff>92074</xdr:rowOff>
    </xdr:to>
    <xdr:pic>
      <xdr:nvPicPr>
        <xdr:cNvPr id="2" name="Picture 1374" descr="LOGO CONICIT">
          <a:extLst>
            <a:ext uri="{FF2B5EF4-FFF2-40B4-BE49-F238E27FC236}">
              <a16:creationId xmlns:a16="http://schemas.microsoft.com/office/drawing/2014/main" id="{C1FE61D4-469E-41B9-8C44-A1BE109E6B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828" y="473073"/>
          <a:ext cx="897879" cy="9906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10</xdr:col>
      <xdr:colOff>24765</xdr:colOff>
      <xdr:row>16</xdr:row>
      <xdr:rowOff>121920</xdr:rowOff>
    </xdr:to>
    <xdr:pic>
      <xdr:nvPicPr>
        <xdr:cNvPr id="2" name="Imagen 1">
          <a:extLst>
            <a:ext uri="{FF2B5EF4-FFF2-40B4-BE49-F238E27FC236}">
              <a16:creationId xmlns:a16="http://schemas.microsoft.com/office/drawing/2014/main" id="{E1A317D4-98EF-4FA4-A8D6-B9E9C296557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381000"/>
          <a:ext cx="6120765" cy="278892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Seidy%20Z&#250;&#241;iga/1%20PRESUPUESTO/2021/0-Matriz%20POI-presupuesto%202021%20consolidado%20al%2007-06-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2020\PRESUPUESTO\CONTROL%20PRESUPUESTO%20Ley%205048,%207169,%209028%20y%203%2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2020\PRESUPUESTO\PRESUPUESTO%20INICIAL\Presupuesto%202020%20CONICIT\documentos%20ajustados%20en%20diciembre%20no%20enviados\MATRIZ%20ANTEPROYECTO%20PRESUPUESTO%202020%20CONSOLIDADA%20al%2023-12-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2020\PRESUPUESTO\PRESUPUESTO%20INICIAL\Presupuesto%202020%20CONICIT\documentos%20ajustados%20en%20diciembre%20no%20enviados\MATRIZ%20ANTEPROYECTO%20PRESUPUESTO%202020%20CONSOLIDADA%20al%2023-12-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6"/>
      <sheetName val="Hoja1"/>
      <sheetName val="Distribución recursos"/>
      <sheetName val="Detalle de Ingresos "/>
      <sheetName val="Distribución recursos 2021"/>
      <sheetName val="ACTIVIDADES 2018"/>
      <sheetName val="Hoja2"/>
      <sheetName val="Hoja3"/>
      <sheetName val="Cuadros"/>
      <sheetName val="partidas"/>
    </sheetNames>
    <sheetDataSet>
      <sheetData sheetId="0" refreshError="1"/>
      <sheetData sheetId="1" refreshError="1"/>
      <sheetData sheetId="2"/>
      <sheetData sheetId="3" refreshError="1"/>
      <sheetData sheetId="4" refreshError="1"/>
      <sheetData sheetId="5" refreshError="1"/>
      <sheetData sheetId="6">
        <row r="4">
          <cell r="B4" t="str">
            <v>Dirección de Soporte Administrativo</v>
          </cell>
          <cell r="C4" t="str">
            <v>001 Transferencias corrientes 3% Propyme</v>
          </cell>
        </row>
        <row r="5">
          <cell r="B5" t="str">
            <v>Finanzas</v>
          </cell>
          <cell r="C5" t="str">
            <v>001 Transferencias corrientes Ley 5048 CONICIT</v>
          </cell>
        </row>
        <row r="6">
          <cell r="B6" t="str">
            <v>Gestión del Desarrollo Humano</v>
          </cell>
          <cell r="C6" t="str">
            <v>001 Transferencias corrientes Ley 7169 Fondo de Incentivos</v>
          </cell>
        </row>
        <row r="7">
          <cell r="B7" t="str">
            <v>Tecnologías de la Información</v>
          </cell>
          <cell r="C7" t="str">
            <v>001 Transferencias corrientes Ley 8262 Propyme</v>
          </cell>
        </row>
        <row r="8">
          <cell r="B8" t="str">
            <v>Recursos Materiales y Servicios</v>
          </cell>
          <cell r="C8" t="str">
            <v>001 Transferencias corrientes Ley 9028 Tabaco</v>
          </cell>
        </row>
        <row r="9">
          <cell r="B9" t="str">
            <v>Secretaría Ejecutiva</v>
          </cell>
          <cell r="C9" t="str">
            <v>001 Transferencias corrientes Ley 7169 F.Incent. Reintegros</v>
          </cell>
        </row>
        <row r="10">
          <cell r="B10" t="str">
            <v>Asesoría Legal</v>
          </cell>
          <cell r="C10" t="str">
            <v>900 Superavit libre Ley 5048 CONICIT</v>
          </cell>
        </row>
        <row r="11">
          <cell r="B11" t="str">
            <v>Planificación</v>
          </cell>
          <cell r="C11" t="str">
            <v>921 Superavit específico Ley 7169 Fondo de Incentivos</v>
          </cell>
        </row>
        <row r="12">
          <cell r="B12" t="str">
            <v>Auditoría Interna</v>
          </cell>
          <cell r="C12" t="str">
            <v>922 Superavit específico Ley 8262 Propyme</v>
          </cell>
        </row>
        <row r="13">
          <cell r="B13" t="str">
            <v>Dirección de Promoción</v>
          </cell>
          <cell r="C13" t="str">
            <v>923 Superavit específico Ley 7099 Fideicomiso 04-99</v>
          </cell>
        </row>
        <row r="14">
          <cell r="B14" t="str">
            <v>Gestión del Financiamiento</v>
          </cell>
          <cell r="C14" t="str">
            <v>924 Superavit específico 3% Propyme</v>
          </cell>
        </row>
        <row r="15">
          <cell r="B15" t="str">
            <v>Evaluación Técnica</v>
          </cell>
          <cell r="C15" t="str">
            <v>926 Superavit específico Ley 9028 Tabaco</v>
          </cell>
        </row>
        <row r="16">
          <cell r="B16" t="str">
            <v>Vinculación y Asesoría</v>
          </cell>
        </row>
        <row r="17">
          <cell r="B17" t="str">
            <v>Gestión de la Información</v>
          </cell>
        </row>
        <row r="18">
          <cell r="B18" t="str">
            <v>USUARIO</v>
          </cell>
        </row>
        <row r="19">
          <cell r="B19" t="str">
            <v>Comisión de Ética y Valores</v>
          </cell>
        </row>
        <row r="20">
          <cell r="B20" t="str">
            <v>Brigada de primeros auxilios</v>
          </cell>
        </row>
        <row r="21">
          <cell r="B21" t="str">
            <v>Comisión de Salud y Seguridad Ocupacional</v>
          </cell>
        </row>
        <row r="22">
          <cell r="B22" t="str">
            <v>Comisión de Gestión Ambiental</v>
          </cell>
        </row>
        <row r="27">
          <cell r="B27" t="str">
            <v>JARA SOLIS EDGAR ENRIQUE</v>
          </cell>
        </row>
        <row r="28">
          <cell r="B28" t="str">
            <v>GUTIÉRREZ VILLALTA FABIO ADOLFO</v>
          </cell>
        </row>
        <row r="29">
          <cell r="B29" t="str">
            <v>HIDALGO LOPEZ ILEANA</v>
          </cell>
        </row>
        <row r="30">
          <cell r="B30" t="str">
            <v>SÁNCHEZ ROBLES ROXANA</v>
          </cell>
        </row>
        <row r="31">
          <cell r="B31" t="str">
            <v>SOLANO VEGA YORLENY</v>
          </cell>
        </row>
        <row r="32">
          <cell r="B32" t="str">
            <v>VICENTE LEÓN GUILLERMO ARTURO</v>
          </cell>
        </row>
        <row r="33">
          <cell r="B33" t="str">
            <v>RAMOS BRENES MARIA DESIRÉE</v>
          </cell>
        </row>
        <row r="34">
          <cell r="B34" t="str">
            <v>BRICEÑO JIMÉNEZ FRANCISCO JOSÉ</v>
          </cell>
        </row>
        <row r="35">
          <cell r="B35" t="str">
            <v>FALLAS GÓMEZ FABIOLA FRANCHESCA</v>
          </cell>
        </row>
        <row r="36">
          <cell r="B36" t="str">
            <v>BARBOZA CASTRO DIANA CAROLINA</v>
          </cell>
        </row>
        <row r="37">
          <cell r="B37" t="str">
            <v>DIAZ DIAZ MARIA GABRIELA</v>
          </cell>
        </row>
        <row r="38">
          <cell r="B38" t="str">
            <v>GARRO ARIAS KIMBERLY</v>
          </cell>
        </row>
        <row r="39">
          <cell r="B39" t="str">
            <v>ARMAS GONZALEZ IRENE</v>
          </cell>
        </row>
        <row r="40">
          <cell r="B40" t="str">
            <v>CAMPOS MEJICANO NOEMY</v>
          </cell>
        </row>
        <row r="41">
          <cell r="B41" t="str">
            <v>HERNÁNDEZ ROJAS VERÓNICA</v>
          </cell>
        </row>
        <row r="42">
          <cell r="B42" t="str">
            <v>JIMÉNEZ GODOY ALEJANDRO</v>
          </cell>
        </row>
        <row r="43">
          <cell r="B43" t="str">
            <v>MENDEZ VARGAS GRETTEL</v>
          </cell>
        </row>
        <row r="44">
          <cell r="B44" t="str">
            <v>MUÑOZ RIVERA JORGE</v>
          </cell>
        </row>
        <row r="45">
          <cell r="B45" t="str">
            <v>ROJAS VEGA JORGE ENRIQUE</v>
          </cell>
        </row>
        <row r="46">
          <cell r="B46" t="str">
            <v>ARIAS ALVARADO SILVIA ELENA</v>
          </cell>
        </row>
        <row r="47">
          <cell r="B47" t="str">
            <v>CARVAJAL RUIZ TABATA</v>
          </cell>
        </row>
        <row r="48">
          <cell r="B48" t="str">
            <v>FERNÁNDEZ CORDERO ANA LORENA</v>
          </cell>
        </row>
        <row r="49">
          <cell r="B49" t="str">
            <v>MORA MORA WILLIAM</v>
          </cell>
        </row>
        <row r="50">
          <cell r="B50" t="str">
            <v>FALLAS PÉREZ JOHNNY</v>
          </cell>
        </row>
        <row r="51">
          <cell r="B51" t="str">
            <v>ARAYA MARRONI ALEJANDRA</v>
          </cell>
        </row>
        <row r="52">
          <cell r="B52" t="str">
            <v>DIAZ FAJARDO DANIELA DE LOS ANGEL</v>
          </cell>
        </row>
        <row r="53">
          <cell r="B53" t="str">
            <v>MADRIGAL HIDALGO JUAN JOSÉ</v>
          </cell>
        </row>
        <row r="54">
          <cell r="B54" t="str">
            <v>MUÑOZ RAMIREZ RAFAEL</v>
          </cell>
        </row>
        <row r="55">
          <cell r="B55" t="str">
            <v>ZUÑIGA RIVAS ALBERTO JESUS</v>
          </cell>
        </row>
        <row r="56">
          <cell r="B56" t="str">
            <v>ALFARO ALFARO SEIDY MARÍA</v>
          </cell>
        </row>
        <row r="57">
          <cell r="B57" t="str">
            <v>CERDAS LÓPEZ MAXIMILIANO FRANCISCO</v>
          </cell>
        </row>
        <row r="58">
          <cell r="B58" t="str">
            <v>ESQUIVEL CHINCHILLA MARLENY</v>
          </cell>
        </row>
        <row r="59">
          <cell r="B59" t="str">
            <v>VILLEGAS SÁNCHEZ NATALIA</v>
          </cell>
        </row>
        <row r="60">
          <cell r="B60" t="str">
            <v>NAVARRO QUIRÓS NURIA VIRGINIA</v>
          </cell>
        </row>
        <row r="61">
          <cell r="B61" t="str">
            <v>SANCHEZ ANCHIA CRISTINA</v>
          </cell>
        </row>
        <row r="62">
          <cell r="B62" t="str">
            <v>SOLÍS CAMPOS PABLO ANDRÉS</v>
          </cell>
        </row>
        <row r="63">
          <cell r="B63" t="str">
            <v>ZÚÑIGA OBANDO SEIDY DIANA</v>
          </cell>
        </row>
        <row r="64">
          <cell r="B64" t="str">
            <v>AGUILAR ROMERO NATALI PAOLA</v>
          </cell>
        </row>
        <row r="65">
          <cell r="B65" t="str">
            <v>DALORZO CHINCHILLA WILLIAM</v>
          </cell>
        </row>
        <row r="66">
          <cell r="B66" t="str">
            <v>BENAVIDES BARRANTES LUIS DAVID</v>
          </cell>
        </row>
        <row r="67">
          <cell r="B67" t="str">
            <v>PORRAS JIMÉNEZ VINICIO</v>
          </cell>
        </row>
        <row r="68">
          <cell r="B68" t="str">
            <v>VARGAS MONTENEGRO ROCÍO</v>
          </cell>
        </row>
      </sheetData>
      <sheetData sheetId="7" refreshError="1"/>
      <sheetData sheetId="8" refreshError="1"/>
      <sheetData sheetId="9">
        <row r="3">
          <cell r="B3" t="str">
            <v>_0_REMUNERACION</v>
          </cell>
        </row>
        <row r="4">
          <cell r="B4" t="str">
            <v>_1_SERVICIOS</v>
          </cell>
        </row>
        <row r="5">
          <cell r="B5" t="str">
            <v>_2_MATERIALES_Y_SUMINISTROS</v>
          </cell>
        </row>
        <row r="6">
          <cell r="B6" t="str">
            <v>_3_INTERESES_Y_COMISIONES</v>
          </cell>
        </row>
        <row r="7">
          <cell r="B7" t="str">
            <v>_4_ACTIVOS_FINANCIEROS</v>
          </cell>
        </row>
        <row r="8">
          <cell r="B8" t="str">
            <v>_5_BIENES_DURADEROS</v>
          </cell>
        </row>
        <row r="9">
          <cell r="B9" t="str">
            <v>_6_TRANSFERENCIAS_CORRIENTES</v>
          </cell>
        </row>
        <row r="10">
          <cell r="B10" t="str">
            <v>_7_TRANSFERENCIAS_DE_CAPITAL</v>
          </cell>
        </row>
        <row r="11">
          <cell r="B11" t="str">
            <v>_8_AMORTIZACION</v>
          </cell>
        </row>
        <row r="12">
          <cell r="B12" t="str">
            <v>_9_CUENTAS_ESPECIALES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 pre 2020"/>
      <sheetName val="PRE-2020"/>
      <sheetName val="Detalle de Ingresos "/>
      <sheetName val="ajustes por improbación"/>
      <sheetName val="ACTIVIDADES 2018"/>
      <sheetName val="Hoja2"/>
      <sheetName val="partidas"/>
    </sheetNames>
    <sheetDataSet>
      <sheetData sheetId="0"/>
      <sheetData sheetId="1">
        <row r="28">
          <cell r="D28" t="str">
            <v>Salarios</v>
          </cell>
        </row>
        <row r="29">
          <cell r="D29" t="str">
            <v>Salarios</v>
          </cell>
        </row>
        <row r="30">
          <cell r="D30" t="str">
            <v>Salarios</v>
          </cell>
        </row>
        <row r="31">
          <cell r="D31" t="str">
            <v>Salarios</v>
          </cell>
        </row>
        <row r="32">
          <cell r="D32" t="str">
            <v>Salarios</v>
          </cell>
        </row>
        <row r="33">
          <cell r="D33" t="str">
            <v>Salarios</v>
          </cell>
        </row>
        <row r="34">
          <cell r="D34" t="str">
            <v>Salarios</v>
          </cell>
        </row>
        <row r="35">
          <cell r="D35" t="str">
            <v>Salarios</v>
          </cell>
        </row>
        <row r="36">
          <cell r="D36" t="str">
            <v>Salarios</v>
          </cell>
        </row>
        <row r="37">
          <cell r="D37" t="str">
            <v>Salarios</v>
          </cell>
        </row>
        <row r="38">
          <cell r="D38" t="str">
            <v>Salarios</v>
          </cell>
        </row>
        <row r="39">
          <cell r="D39" t="str">
            <v>Salarios</v>
          </cell>
        </row>
        <row r="40">
          <cell r="D40" t="str">
            <v>Respaldos de Bases de datos</v>
          </cell>
        </row>
        <row r="41">
          <cell r="D41" t="str">
            <v>Servicios Públicos</v>
          </cell>
        </row>
        <row r="42">
          <cell r="D42" t="str">
            <v>Servicios Públicos</v>
          </cell>
        </row>
        <row r="43">
          <cell r="D43" t="str">
            <v>Servicio de apartado postal</v>
          </cell>
        </row>
        <row r="44">
          <cell r="D44" t="str">
            <v xml:space="preserve">Servicio de Telecomunicaciones </v>
          </cell>
        </row>
        <row r="45">
          <cell r="D45" t="str">
            <v xml:space="preserve">Impuestos municipales </v>
          </cell>
        </row>
        <row r="46">
          <cell r="D46" t="str">
            <v>Sistema de Compras habilitado</v>
          </cell>
        </row>
        <row r="47">
          <cell r="D47" t="str">
            <v>Estados Financieros</v>
          </cell>
        </row>
        <row r="48">
          <cell r="D48" t="str">
            <v>Realizar actividades varias dirigidas a los funcionarios del Conicit para el fortalecimiento de la ética institucional</v>
          </cell>
        </row>
        <row r="49">
          <cell r="D49" t="str">
            <v>Sistema de Compras habilitado</v>
          </cell>
        </row>
        <row r="50">
          <cell r="D50" t="str">
            <v>Renovación de certificados digitales de los colaboradores</v>
          </cell>
        </row>
        <row r="51">
          <cell r="D51" t="str">
            <v>Gestionar el médico de empresa</v>
          </cell>
        </row>
        <row r="52">
          <cell r="D52" t="str">
            <v>Gestionar el médico de empresa</v>
          </cell>
        </row>
        <row r="53">
          <cell r="D53" t="str">
            <v>Gestionar el médico de empresa</v>
          </cell>
        </row>
        <row r="54">
          <cell r="D54" t="str">
            <v>Elaboración de dictámenes (paneles de expertos)</v>
          </cell>
        </row>
      </sheetData>
      <sheetData sheetId="2"/>
      <sheetData sheetId="3"/>
      <sheetData sheetId="4"/>
      <sheetData sheetId="5">
        <row r="4">
          <cell r="B4" t="str">
            <v>Dirección de Soporte Administrativo</v>
          </cell>
          <cell r="C4" t="str">
            <v>001 Transferencias corrientes 3% Propyme</v>
          </cell>
        </row>
        <row r="5">
          <cell r="B5" t="str">
            <v>Unidad de Finanzas</v>
          </cell>
          <cell r="C5" t="str">
            <v>001 Transferencias corrientes Ley 5048 CONICIT</v>
          </cell>
        </row>
        <row r="6">
          <cell r="B6" t="str">
            <v>Unidad de Gestión del Desarrollo Humano</v>
          </cell>
          <cell r="C6" t="str">
            <v>001 Transferencias corrientes Ley 7169 Fondo de Incentivos</v>
          </cell>
        </row>
        <row r="7">
          <cell r="B7" t="str">
            <v>Unidad de Tecnologías de la Información</v>
          </cell>
          <cell r="C7" t="str">
            <v>001 Transferencias corrientes Ley 8262 Propyme</v>
          </cell>
        </row>
        <row r="8">
          <cell r="B8" t="str">
            <v>Unidad de Recursos Materiales y Servicios</v>
          </cell>
          <cell r="C8" t="str">
            <v>001 Transferencias corrientes Ley 9028 Tabaco</v>
          </cell>
        </row>
        <row r="9">
          <cell r="B9" t="str">
            <v>Secretaría Ejecutiva</v>
          </cell>
          <cell r="C9" t="str">
            <v>001 Transferencias corrientes Ley 7169 F.Incent. Reintegros</v>
          </cell>
        </row>
        <row r="10">
          <cell r="B10" t="str">
            <v>Asesoría Legal</v>
          </cell>
          <cell r="C10" t="str">
            <v>900 Superavit libre Ley 5048 CONICIT</v>
          </cell>
        </row>
        <row r="11">
          <cell r="B11" t="str">
            <v>Unidad de Planificación</v>
          </cell>
          <cell r="C11" t="str">
            <v>921 Superavit específico Ley 7169 Fondo de Incentivos</v>
          </cell>
        </row>
        <row r="12">
          <cell r="B12" t="str">
            <v>Auditoría Interna</v>
          </cell>
          <cell r="C12" t="str">
            <v>922 Superavit específico Ley 8262 Propyme</v>
          </cell>
        </row>
        <row r="13">
          <cell r="B13" t="str">
            <v>Dirección de Promoción</v>
          </cell>
          <cell r="C13" t="str">
            <v>923 Superavit específico Ley 7099 Fideicomiso 04-99</v>
          </cell>
        </row>
        <row r="14">
          <cell r="B14" t="str">
            <v>Unidad de Gestión del Financiamiento</v>
          </cell>
          <cell r="C14" t="str">
            <v>924 Superavit específico 3% Propyme</v>
          </cell>
        </row>
        <row r="15">
          <cell r="C15" t="str">
            <v>926 Superavit específicoLey 9028 Tabaco</v>
          </cell>
        </row>
        <row r="16">
          <cell r="B16" t="str">
            <v>Unidad de Evaluación Técnica</v>
          </cell>
          <cell r="C16" t="str">
            <v>925 Superavit específico ELAN</v>
          </cell>
        </row>
        <row r="17">
          <cell r="B17" t="str">
            <v>Unidad de Vinculación y Asesoría</v>
          </cell>
        </row>
        <row r="18">
          <cell r="B18" t="str">
            <v>Unidad de Gestión de la Información</v>
          </cell>
        </row>
        <row r="19">
          <cell r="B19" t="str">
            <v>Comisión de Ética y Valores</v>
          </cell>
        </row>
        <row r="20">
          <cell r="B20" t="str">
            <v>Comisión de Salud y Seguridad Ocupacional</v>
          </cell>
        </row>
        <row r="21">
          <cell r="B21" t="str">
            <v>Comisión de Gestión Ambiental</v>
          </cell>
        </row>
        <row r="26">
          <cell r="B26" t="str">
            <v>JARA SOLIS EDGAR ENRIQUE</v>
          </cell>
        </row>
        <row r="27">
          <cell r="B27" t="str">
            <v>GUTIÉRREZ VILLALTA FABIO ADOLFO</v>
          </cell>
        </row>
        <row r="28">
          <cell r="B28" t="str">
            <v>HIDALGO LOPEZ ILEANA</v>
          </cell>
        </row>
        <row r="29">
          <cell r="B29" t="str">
            <v>SÁNCHEZ ROBLES ROXANA</v>
          </cell>
        </row>
        <row r="30">
          <cell r="B30" t="str">
            <v>SOLANO VEGA YORLENY</v>
          </cell>
        </row>
        <row r="31">
          <cell r="B31" t="str">
            <v>VICENTE LEÓN GUILLERMO ARTURO</v>
          </cell>
        </row>
        <row r="32">
          <cell r="B32" t="str">
            <v>RAMOS BRENES MARIA DESIRÉE</v>
          </cell>
        </row>
        <row r="33">
          <cell r="B33" t="str">
            <v>BRICEÑO JIMÉNEZ FRANCISCO JOSÉ</v>
          </cell>
        </row>
        <row r="34">
          <cell r="B34" t="str">
            <v>FALLAS GÓMEZ FABIOLA FRANCHESCA</v>
          </cell>
        </row>
        <row r="35">
          <cell r="B35" t="str">
            <v>BARBOZA CASTRO DIANA CAROLINA</v>
          </cell>
        </row>
        <row r="36">
          <cell r="B36" t="str">
            <v>DIAZ DIAZ MARIA GABRIELA</v>
          </cell>
        </row>
        <row r="37">
          <cell r="B37" t="str">
            <v>GARRO ARIAS KIMBERLY</v>
          </cell>
        </row>
        <row r="38">
          <cell r="B38" t="str">
            <v>ARMAS GONZALEZ IRENE</v>
          </cell>
        </row>
        <row r="39">
          <cell r="B39" t="str">
            <v>CAMPOS MEJICANO NOEMY</v>
          </cell>
        </row>
        <row r="40">
          <cell r="B40" t="str">
            <v>HERNÁNDEZ ROJAS VERÓNICA</v>
          </cell>
        </row>
        <row r="41">
          <cell r="B41" t="str">
            <v>JIMÉNEZ GODOY ALEJANDRO</v>
          </cell>
        </row>
        <row r="42">
          <cell r="B42" t="str">
            <v>MENDEZ VARGAS GRETTEL</v>
          </cell>
        </row>
        <row r="43">
          <cell r="B43" t="str">
            <v>MUÑOZ RIVERA JORGE</v>
          </cell>
        </row>
        <row r="44">
          <cell r="B44" t="str">
            <v>ROJAS VEGA JORGE ENRIQUE</v>
          </cell>
        </row>
        <row r="45">
          <cell r="B45" t="str">
            <v>ARIAS ALVARADO SILVIA ELENA</v>
          </cell>
        </row>
        <row r="46">
          <cell r="B46" t="str">
            <v>CARVAJAL RUIZ TABATA</v>
          </cell>
        </row>
        <row r="47">
          <cell r="B47" t="str">
            <v>FERNÁNDEZ CORDERO ANA LORENA</v>
          </cell>
        </row>
        <row r="48">
          <cell r="B48" t="str">
            <v>MORA MORA WILLIAM</v>
          </cell>
        </row>
        <row r="49">
          <cell r="B49" t="str">
            <v>ROJAS MONGE VÍCTOR MANUEL</v>
          </cell>
        </row>
        <row r="50">
          <cell r="B50" t="str">
            <v>ARAYA MARRONI ALEJANDRA</v>
          </cell>
        </row>
        <row r="51">
          <cell r="B51" t="str">
            <v>DIAZ FAJARDO DANIELA DE LOS ANGEL</v>
          </cell>
        </row>
        <row r="52">
          <cell r="B52" t="str">
            <v>MADRIGAL HIDALGO JUAN JOSÉ</v>
          </cell>
        </row>
        <row r="53">
          <cell r="B53" t="str">
            <v>MUÑOZ RAMIREZ RAFAEL</v>
          </cell>
        </row>
        <row r="54">
          <cell r="B54" t="str">
            <v>ZUÑIGA RIVAS ALBERTO JESUS</v>
          </cell>
        </row>
        <row r="55">
          <cell r="B55" t="str">
            <v>ALFARO ALFARO SEIDY MARÍA</v>
          </cell>
        </row>
        <row r="56">
          <cell r="B56" t="str">
            <v>CERDAS LÓPEZ MAXIMILIANO FRANCISCO</v>
          </cell>
        </row>
        <row r="57">
          <cell r="B57" t="str">
            <v>ESQUIVEL CHINCHILLA MARLENY</v>
          </cell>
        </row>
        <row r="58">
          <cell r="B58" t="str">
            <v>VILLEGAS SÁNCHEZ NATALIA</v>
          </cell>
        </row>
        <row r="59">
          <cell r="B59" t="str">
            <v>NAVARRO QUIRÓS NURIA VIRGINIA</v>
          </cell>
        </row>
        <row r="60">
          <cell r="B60" t="str">
            <v>SANCHEZ ANCHIA CRISTINA</v>
          </cell>
        </row>
        <row r="61">
          <cell r="B61" t="str">
            <v>SOLÍS CAMPOS PABLO ANDRÉS</v>
          </cell>
        </row>
        <row r="62">
          <cell r="B62" t="str">
            <v>ZÚÑIGA OBANDO SEIDY DIANA</v>
          </cell>
        </row>
        <row r="63">
          <cell r="B63" t="str">
            <v>AGUILAR ROMERO NATALI PAOLA</v>
          </cell>
        </row>
        <row r="64">
          <cell r="B64" t="str">
            <v>DALORZO CHINCHILLA WILLIAM</v>
          </cell>
        </row>
        <row r="65">
          <cell r="B65" t="str">
            <v>BENAVIDES BARRANTES LUIS DAVID</v>
          </cell>
        </row>
        <row r="66">
          <cell r="B66" t="str">
            <v>PORRAS JIMÉNEZ VINICIO</v>
          </cell>
        </row>
        <row r="67">
          <cell r="B67" t="str">
            <v>VARGAS MONTENEGRO ROCÍO</v>
          </cell>
        </row>
      </sheetData>
      <sheetData sheetId="6">
        <row r="3">
          <cell r="B3" t="str">
            <v>_0_REMUNERACION</v>
          </cell>
        </row>
        <row r="4">
          <cell r="B4" t="str">
            <v>_1_SERVICIOS</v>
          </cell>
        </row>
        <row r="5">
          <cell r="B5" t="str">
            <v>_2_MATERIALES_Y_SUMINISTROS</v>
          </cell>
        </row>
        <row r="6">
          <cell r="B6" t="str">
            <v>_3_INTERESES_Y_COMISIONES</v>
          </cell>
        </row>
        <row r="7">
          <cell r="B7" t="str">
            <v>_4_ACTIVOS_FINANCIEROS</v>
          </cell>
        </row>
        <row r="8">
          <cell r="B8" t="str">
            <v>_5_BIENES_DURADEROS</v>
          </cell>
        </row>
        <row r="9">
          <cell r="B9" t="str">
            <v>_6_TRANSFERENCIAS_CORRIENTES</v>
          </cell>
        </row>
        <row r="10">
          <cell r="B10" t="str">
            <v>_7_TRANSFERENCIAS_DE_CAPITAL</v>
          </cell>
        </row>
        <row r="11">
          <cell r="B11" t="str">
            <v>_8_AMORTIZACION</v>
          </cell>
        </row>
        <row r="12">
          <cell r="B12" t="str">
            <v>_9_CUENTAS_ESPECIALES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escenarios"/>
      <sheetName val="TD pre 2020"/>
      <sheetName val="PRE-2020"/>
      <sheetName val="ajustes por improbación"/>
      <sheetName val="Tablas"/>
      <sheetName val="ACTIVIDADES 2018"/>
      <sheetName val="Hoja2"/>
      <sheetName val="partidas"/>
    </sheetNames>
    <sheetDataSet>
      <sheetData sheetId="0" refreshError="1"/>
      <sheetData sheetId="1" refreshError="1"/>
      <sheetData sheetId="2">
        <row r="35">
          <cell r="D35" t="str">
            <v>Salarios</v>
          </cell>
        </row>
      </sheetData>
      <sheetData sheetId="3" refreshError="1"/>
      <sheetData sheetId="4" refreshError="1"/>
      <sheetData sheetId="5" refreshError="1"/>
      <sheetData sheetId="6">
        <row r="4">
          <cell r="B4" t="str">
            <v>Dirección de Soporte Administrativo</v>
          </cell>
        </row>
        <row r="5">
          <cell r="B5" t="str">
            <v>Unidad de Finanzas</v>
          </cell>
        </row>
        <row r="6">
          <cell r="B6" t="str">
            <v>Unidad de Gestión del Desarrollo Humano</v>
          </cell>
        </row>
        <row r="7">
          <cell r="B7" t="str">
            <v>Unidad de Tecnologías de la Información</v>
          </cell>
        </row>
        <row r="8">
          <cell r="B8" t="str">
            <v>Unidad de Recursos Materiales y Servicios</v>
          </cell>
        </row>
        <row r="9">
          <cell r="B9" t="str">
            <v>Secretaría Ejecutiva</v>
          </cell>
        </row>
        <row r="10">
          <cell r="B10" t="str">
            <v>Asesoría Legal</v>
          </cell>
        </row>
        <row r="11">
          <cell r="B11" t="str">
            <v>Unidad de Planificación</v>
          </cell>
        </row>
        <row r="12">
          <cell r="B12" t="str">
            <v>Auditoría Interna</v>
          </cell>
        </row>
        <row r="13">
          <cell r="B13" t="str">
            <v>Dirección de Promoción</v>
          </cell>
        </row>
        <row r="14">
          <cell r="B14" t="str">
            <v>Unidad de Gestión del Financiamiento</v>
          </cell>
        </row>
        <row r="16">
          <cell r="B16" t="str">
            <v>Unidad de Evaluación Técnica</v>
          </cell>
        </row>
        <row r="17">
          <cell r="B17" t="str">
            <v>Unidad de Vinculación y Asesoría</v>
          </cell>
        </row>
        <row r="18">
          <cell r="B18" t="str">
            <v>Unidad de Gestión de la Información</v>
          </cell>
        </row>
        <row r="19">
          <cell r="B19" t="str">
            <v>Comisión de Ética y Valores</v>
          </cell>
        </row>
        <row r="20">
          <cell r="B20" t="str">
            <v>Comisión de Salud y Seguridad Ocupacional</v>
          </cell>
        </row>
        <row r="21">
          <cell r="B21" t="str">
            <v>Comisión de Gestión Ambiental</v>
          </cell>
        </row>
      </sheetData>
      <sheetData sheetId="7">
        <row r="3">
          <cell r="B3" t="str">
            <v>_0_REMUNERACION</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escenarios"/>
      <sheetName val="TD pre 2020"/>
      <sheetName val="PRE-2020"/>
      <sheetName val="ajustes por improbación"/>
      <sheetName val="Tablas"/>
      <sheetName val="ACTIVIDADES 2018"/>
      <sheetName val="Hoja2"/>
      <sheetName val="partidas"/>
    </sheetNames>
    <sheetDataSet>
      <sheetData sheetId="0"/>
      <sheetData sheetId="1"/>
      <sheetData sheetId="2"/>
      <sheetData sheetId="3"/>
      <sheetData sheetId="4"/>
      <sheetData sheetId="5"/>
      <sheetData sheetId="6">
        <row r="4">
          <cell r="B4" t="str">
            <v>Dirección de Soporte Administrativo</v>
          </cell>
        </row>
        <row r="5">
          <cell r="B5" t="str">
            <v>Unidad de Finanzas</v>
          </cell>
        </row>
        <row r="6">
          <cell r="B6" t="str">
            <v>Unidad de Gestión del Desarrollo Humano</v>
          </cell>
        </row>
        <row r="7">
          <cell r="B7" t="str">
            <v>Unidad de Tecnologías de la Información</v>
          </cell>
        </row>
        <row r="8">
          <cell r="B8" t="str">
            <v>Unidad de Recursos Materiales y Servicios</v>
          </cell>
        </row>
        <row r="9">
          <cell r="B9" t="str">
            <v>Secretaría Ejecutiva</v>
          </cell>
        </row>
        <row r="10">
          <cell r="B10" t="str">
            <v>Asesoría Legal</v>
          </cell>
        </row>
        <row r="11">
          <cell r="B11" t="str">
            <v>Unidad de Planificación</v>
          </cell>
        </row>
        <row r="12">
          <cell r="B12" t="str">
            <v>Auditoría Interna</v>
          </cell>
        </row>
        <row r="13">
          <cell r="B13" t="str">
            <v>Dirección de Promoción</v>
          </cell>
        </row>
        <row r="14">
          <cell r="B14" t="str">
            <v>Unidad de Gestión del Financiamiento</v>
          </cell>
        </row>
        <row r="16">
          <cell r="B16" t="str">
            <v>Unidad de Evaluación Técnica</v>
          </cell>
        </row>
        <row r="17">
          <cell r="B17" t="str">
            <v>Unidad de Vinculación y Asesoría</v>
          </cell>
        </row>
        <row r="18">
          <cell r="B18" t="str">
            <v>Unidad de Gestión de la Información</v>
          </cell>
        </row>
        <row r="19">
          <cell r="B19" t="str">
            <v>Comisión de Ética y Valores</v>
          </cell>
        </row>
        <row r="20">
          <cell r="B20" t="str">
            <v>Comisión de Salud y Seguridad Ocupacional</v>
          </cell>
        </row>
        <row r="21">
          <cell r="B21" t="str">
            <v>Comisión de Gestión Ambiental</v>
          </cell>
        </row>
      </sheetData>
      <sheetData sheetId="7"/>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eidy Zuniga" refreshedDate="44377.653125578705" createdVersion="6" refreshedVersion="6" minRefreshableVersion="3" recordCount="101" xr:uid="{189C7072-ECA3-4572-8A2A-A01B234EF4E3}">
  <cacheSource type="worksheet">
    <worksheetSource name="Tabla14"/>
  </cacheSource>
  <cacheFields count="24">
    <cacheField name="Partida" numFmtId="0">
      <sharedItems count="6">
        <s v="_0_REMUNERACION"/>
        <s v="_1_SERVICIOS"/>
        <s v="_2_MATERIALES_Y_SUMINISTROS"/>
        <s v="_5_BIENES_DURADEROS"/>
        <s v="_6_TRANSFERENCIAS_CORRIENTES"/>
        <s v="_9_CUENTAS_ESPECIALES"/>
      </sharedItems>
    </cacheField>
    <cacheField name="Grupo" numFmtId="0">
      <sharedItems containsBlank="1"/>
    </cacheField>
    <cacheField name="Subpartida" numFmtId="0">
      <sharedItems/>
    </cacheField>
    <cacheField name="Escenario 5: Monto ajustado aprobado por la CGR" numFmtId="168">
      <sharedItems containsString="0" containsBlank="1" containsNumber="1" minValue="0" maxValue="317258004.00999999"/>
    </cacheField>
    <cacheField name="Modificación 01-2021" numFmtId="168">
      <sharedItems containsString="0" containsBlank="1" containsNumber="1" containsInteger="1" minValue="-3380000" maxValue="2330000"/>
    </cacheField>
    <cacheField name="MN01-2021" numFmtId="168">
      <sharedItems containsString="0" containsBlank="1" containsNumber="1" minValue="-10439698.82" maxValue="10439698.82"/>
    </cacheField>
    <cacheField name="MN02-2022" numFmtId="168">
      <sharedItems containsString="0" containsBlank="1" containsNumber="1" containsInteger="1" minValue="-435000" maxValue="435000"/>
    </cacheField>
    <cacheField name="Modificación 02-2021" numFmtId="168">
      <sharedItems containsString="0" containsBlank="1" containsNumber="1" minValue="-25000000" maxValue="25000000"/>
    </cacheField>
    <cacheField name="Modificación 03-2021" numFmtId="168">
      <sharedItems containsString="0" containsBlank="1" containsNumber="1" containsInteger="1" minValue="-2700000" maxValue="5630000"/>
    </cacheField>
    <cacheField name="PE-01-2021" numFmtId="168">
      <sharedItems containsString="0" containsBlank="1" containsNumber="1" minValue="-81098367.010000005" maxValue="81098367.010000005"/>
    </cacheField>
    <cacheField name="MN03-20221" numFmtId="168">
      <sharedItems containsString="0" containsBlank="1" containsNumber="1" containsInteger="1" minValue="-104553" maxValue="104553"/>
    </cacheField>
    <cacheField name="Presupuesto total" numFmtId="168">
      <sharedItems containsSemiMixedTypes="0" containsString="0" containsNumber="1" minValue="0" maxValue="261159637"/>
    </cacheField>
    <cacheField name="Resevas" numFmtId="168">
      <sharedItems containsString="0" containsBlank="1" containsNumber="1" minValue="0" maxValue="30092907"/>
    </cacheField>
    <cacheField name="Compromisos " numFmtId="168">
      <sharedItems containsString="0" containsBlank="1" containsNumber="1" minValue="0" maxValue="35991956"/>
    </cacheField>
    <cacheField name="Ejecutado" numFmtId="168">
      <sharedItems containsString="0" containsBlank="1" containsNumber="1" minValue="0" maxValue="261159637"/>
    </cacheField>
    <cacheField name="Saldo disponible" numFmtId="168">
      <sharedItems containsSemiMixedTypes="0" containsString="0" containsNumber="1" minValue="0" maxValue="114590923.34999999"/>
    </cacheField>
    <cacheField name="Fuente de Ingresos" numFmtId="0">
      <sharedItems count="9">
        <s v="001 Transferencias corrientes Ley 5048 CONICIT"/>
        <s v="001 Transferencias corrientes 3% Propyme"/>
        <s v="900 Superavit libre Ley 5048 CONICIT"/>
        <s v="924 Superavit específico 3% Propyme"/>
        <s v="001 Transferencias corrientes Ley 7169 Fondo de Incentivos"/>
        <s v="921 Superavit específico Ley 7169 Fondo de Incentivos"/>
        <s v="001 Transferencias corrientes Ley 9028 Tabaco"/>
        <s v="926 Superavit específico Ley 9028 Tabaco"/>
        <s v="001 Transferencias corrientes Ley 8262 Propyme"/>
      </sharedItems>
    </cacheField>
    <cacheField name="Programa presupuestario" numFmtId="0">
      <sharedItems count="2">
        <s v="1 Promoción de la Ciencia, Tecnología e Innovación"/>
        <s v="2 Gestión Administrativa"/>
      </sharedItems>
    </cacheField>
    <cacheField name="Centro costos" numFmtId="0">
      <sharedItems containsBlank="1"/>
    </cacheField>
    <cacheField name="Código Meta Sistema Administrativo" numFmtId="0">
      <sharedItems/>
    </cacheField>
    <cacheField name="Nombre Meta Sistema Administrativo" numFmtId="0">
      <sharedItems containsBlank="1"/>
    </cacheField>
    <cacheField name="Código Meta Planificación" numFmtId="0">
      <sharedItems/>
    </cacheField>
    <cacheField name="Meta Planificación final" numFmtId="0">
      <sharedItems containsBlank="1"/>
    </cacheField>
    <cacheField name="Justificación detallada de la solicitud de presupuesto, en la medida de lo posible indique los parámetros utilizados para la estimación.2"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1">
  <r>
    <x v="0"/>
    <s v="0.01 REMUNERACIONES BÁSICAS"/>
    <s v="0.01.01 Sueldos para cargos fijos"/>
    <n v="161461800"/>
    <m/>
    <m/>
    <m/>
    <m/>
    <n v="-2500000"/>
    <n v="-1000000"/>
    <m/>
    <n v="157961800"/>
    <m/>
    <m/>
    <n v="71542780"/>
    <n v="86419020"/>
    <x v="0"/>
    <x v="0"/>
    <s v="01-02 Dirección de Promoción de Ciencia, Tecnología e Innovación"/>
    <s v="DP0101"/>
    <s v="Ejecutar 90% PRESU-planilla TC-5048 DP"/>
    <s v="DP0101"/>
    <s v="Ejecutar 90% de la planilla de la Dirección de Promoción"/>
    <s v="Corresponde a salarios para el año 2021. No se considera costo de vida para el año 2021.  Se considera costo de vida del 2020, según lo indicado en oficio DGPN-0233-2020.  Programa 1"/>
  </r>
  <r>
    <x v="0"/>
    <s v="0.01 REMUNERACIONES BÁSICAS"/>
    <s v="0.01.01 Sueldos para cargos fijos"/>
    <n v="219650232"/>
    <m/>
    <m/>
    <m/>
    <m/>
    <n v="-2700000"/>
    <m/>
    <m/>
    <n v="216950232"/>
    <m/>
    <m/>
    <n v="102359308.65000001"/>
    <n v="114590923.34999999"/>
    <x v="0"/>
    <x v="1"/>
    <s v="02-06 Dirección de Soporte Administrativo"/>
    <s v="DSA0101"/>
    <s v="Ejecutar 90% PRESU-planilla TC-5048 DSA"/>
    <s v="SA0101"/>
    <s v="Ejecutar 90% de la planilla de Gestion Administrativa"/>
    <s v="Corresponde a salarios para el año 2021. No se considera costo de vida para el año 2021.  Se considera costo de vida del 2020, según lo indicado en oficio DGPN-0233-2020. Programa 2"/>
  </r>
  <r>
    <x v="0"/>
    <s v="0.01 REMUNERACIONES BÁSICAS"/>
    <s v="0.02.01 Tiempo extraordinario"/>
    <m/>
    <m/>
    <m/>
    <m/>
    <m/>
    <n v="5000000"/>
    <m/>
    <m/>
    <n v="5000000"/>
    <m/>
    <m/>
    <n v="98012.1"/>
    <n v="4901987.9000000004"/>
    <x v="0"/>
    <x v="1"/>
    <s v="02-06 Dirección de Soporte Administrativo"/>
    <s v="DSA0101"/>
    <s v="Ejecutar 90% PRESU-planilla TC-5048 DSA"/>
    <s v="SA0101"/>
    <s v="Ejecutar 90% de la planilla de Gestion Administrativa"/>
    <s v="Tiempo extraordinario: cuentas del BNCR, NICSP y reclamos administrativos"/>
  </r>
  <r>
    <x v="0"/>
    <s v="0.01 REMUNERACIONES BÁSICAS"/>
    <s v="0.01.05 Suplencias"/>
    <n v="0"/>
    <m/>
    <m/>
    <m/>
    <n v="1100000"/>
    <m/>
    <m/>
    <m/>
    <n v="1100000"/>
    <m/>
    <m/>
    <n v="0"/>
    <n v="1100000"/>
    <x v="0"/>
    <x v="0"/>
    <s v="DP0101"/>
    <s v="DP0101"/>
    <s v="Ejecutar 90% PRESU-planilla TC-5048 DP"/>
    <s v="DP0101"/>
    <s v="Ejecutar 90% de la planilla de la Dirección de Promoción"/>
    <s v="Para contratación de personal sustituto para suplir a colaboradores en el eventual caso de que se presenten incapacidades por COVID-19, incapacidad por enfermedad, licencias, vacaciones prolongadas y otros."/>
  </r>
  <r>
    <x v="0"/>
    <s v="0.01 REMUNERACIONES BÁSICAS"/>
    <s v="0.01.05 Suplencias"/>
    <n v="0"/>
    <m/>
    <m/>
    <m/>
    <n v="1100000"/>
    <m/>
    <m/>
    <m/>
    <n v="1100000"/>
    <m/>
    <m/>
    <n v="0"/>
    <n v="1100000"/>
    <x v="0"/>
    <x v="1"/>
    <s v="02-06 Dirección de Soporte Administrativo"/>
    <s v="DSA0101"/>
    <s v="Ejecutar 90% PRESU-planilla TC-5048 DSA"/>
    <s v="SA0101"/>
    <s v="Ejecutar 90% de la planilla de Gestion Administrativa"/>
    <s v="Para contratación de personal sustituto para suplir a colaboradores en el eventual caso de que se presenten incapacidades por COVID-19, incapacidad por enfermedad, licencias, vacaciones prolongadas y otros."/>
  </r>
  <r>
    <x v="0"/>
    <s v="0.02 REMUNERACIONES EVENTUALES"/>
    <s v="0.02.05 Dietas"/>
    <n v="7200000"/>
    <m/>
    <m/>
    <m/>
    <m/>
    <m/>
    <m/>
    <m/>
    <n v="7200000"/>
    <n v="0"/>
    <n v="0"/>
    <n v="3382420.44"/>
    <n v="3817579.56"/>
    <x v="0"/>
    <x v="1"/>
    <s v="02-02 Secretaría Ejecutiva"/>
    <s v="SE0101"/>
    <s v="Ejecutar 90% PRESU TC 5048 SE"/>
    <s v="SE0101"/>
    <s v="Ejecutar el 90% del Plan de Trabajo de la Secretaría Ejecutiva."/>
    <s v="Pago de dieta a los señores miembros del Consejo Directo, se contemplo ese monto asumiendo que normalmente se realizan 44 sesiones al año"/>
  </r>
  <r>
    <x v="0"/>
    <s v="0.03 INCENTIVOS SALARIALES"/>
    <s v="0.03.01 Retribución por años servidos"/>
    <n v="71206212"/>
    <m/>
    <m/>
    <m/>
    <m/>
    <n v="-2000000"/>
    <n v="-393722.8"/>
    <m/>
    <n v="68812489.200000003"/>
    <m/>
    <m/>
    <n v="30205233.34"/>
    <n v="38607255.859999999"/>
    <x v="0"/>
    <x v="0"/>
    <s v="01-02 Dirección de Promoción de Ciencia, Tecnología e Innovación"/>
    <s v="DP0101"/>
    <s v="Ejecutar 90% PRESU-planilla TC-5048 DP"/>
    <s v="DP0101"/>
    <s v="Ejecutar 90% de la planilla de la Dirección de Promoción"/>
    <s v="Corresponde al pago de anualidades pr años servidos. Programa 1"/>
  </r>
  <r>
    <x v="0"/>
    <s v="0.03 INCENTIVOS SALARIALES"/>
    <s v="0.03.01 Retribución por años servidos"/>
    <n v="64878924"/>
    <m/>
    <m/>
    <m/>
    <m/>
    <n v="-500000"/>
    <m/>
    <m/>
    <n v="64378924"/>
    <m/>
    <m/>
    <n v="30748362.300000001"/>
    <n v="33630561.700000003"/>
    <x v="0"/>
    <x v="1"/>
    <s v="02-06 Dirección de Soporte Administrativo"/>
    <s v="DSA0101"/>
    <s v="Ejecutar 90% PRESU-planilla TC-5048 DSA"/>
    <s v="SA0101"/>
    <s v="Ejecutar 90% de la planilla de Gestion Administrativa"/>
    <s v="Corresponde al pago de anualidades pr años servidos. Programa 2"/>
  </r>
  <r>
    <x v="0"/>
    <s v="0.03 INCENTIVOS SALARIALES"/>
    <s v="0.03.02 Restricción al ejercicio liberal de la profesión"/>
    <n v="76985910"/>
    <m/>
    <m/>
    <m/>
    <m/>
    <n v="-1000000"/>
    <m/>
    <m/>
    <n v="75985910"/>
    <m/>
    <m/>
    <n v="34036389"/>
    <n v="41949521"/>
    <x v="0"/>
    <x v="0"/>
    <s v="01-02 Dirección de Promoción de Ciencia, Tecnología e Innovación"/>
    <s v="DP0101"/>
    <s v="Ejecutar 90% PRESU-planilla TC-5048 DP"/>
    <s v="DP0101"/>
    <s v="Ejecutar 90% de la planilla de la Dirección de Promoción"/>
    <s v="Corresponde al pago de Dedicación Exclusiva o Prohibición. Es un porcentaje del salario base.  Programa 1"/>
  </r>
  <r>
    <x v="0"/>
    <s v="0.03 INCENTIVOS SALARIALES"/>
    <s v="0.03.02 Restricción al ejercicio liberal de la profesión"/>
    <n v="73066170"/>
    <m/>
    <m/>
    <m/>
    <m/>
    <n v="-2000000"/>
    <n v="-2500000"/>
    <m/>
    <n v="68566170"/>
    <m/>
    <m/>
    <n v="31420558.289999999"/>
    <n v="37145611.710000001"/>
    <x v="0"/>
    <x v="1"/>
    <s v="02-06 Dirección de Soporte Administrativo"/>
    <s v="DSA0101"/>
    <s v="Ejecutar 90% PRESU-planilla TC-5048 DSA"/>
    <s v="SA0101"/>
    <s v="Ejecutar 90% de la planilla de Gestion Administrativa"/>
    <s v="Corresponde al pago de Dedicación Exclusiva o Prohibición. Es un porcentaje del salario base.  Programa 2"/>
  </r>
  <r>
    <x v="0"/>
    <s v="0.03 INCENTIVOS SALARIALES"/>
    <s v="0.03.03 Decimotercer mes"/>
    <n v="30553823.989999998"/>
    <m/>
    <m/>
    <m/>
    <m/>
    <m/>
    <m/>
    <m/>
    <n v="30553823.989999998"/>
    <m/>
    <m/>
    <n v="0"/>
    <n v="30553823.989999998"/>
    <x v="0"/>
    <x v="0"/>
    <s v="01-02 Dirección de Promoción de Ciencia, Tecnología e Innovación"/>
    <s v="DP0101"/>
    <s v="Ejecutar 90% PRESU-planilla TC-5048 DP"/>
    <s v="DP0101"/>
    <s v="Ejecutar 90% de la planilla de la Dirección de Promoción"/>
    <s v="Corresponde al pago de aguinaldo anual.  Corresponde al 8,33333 del salario devengado. Porgrama 1"/>
  </r>
  <r>
    <x v="0"/>
    <s v="0.03 INCENTIVOS SALARIALES"/>
    <s v="0.03.03 Decimotercer mes"/>
    <n v="34179769.380000003"/>
    <m/>
    <m/>
    <m/>
    <m/>
    <m/>
    <m/>
    <m/>
    <n v="34179769.380000003"/>
    <m/>
    <m/>
    <n v="0"/>
    <n v="34179769.380000003"/>
    <x v="0"/>
    <x v="1"/>
    <s v="02-06 Dirección de Soporte Administrativo"/>
    <s v="DSA0101"/>
    <s v="Ejecutar 90% PRESU-planilla TC-5048 DSA"/>
    <s v="SA0101"/>
    <s v="Ejecutar 90% de la planilla de Gestion Administrativa"/>
    <s v="Corresponde al pago de aguinaldo anual.  Corresponde al 8,33333 del salario devengado. Porgrama 2"/>
  </r>
  <r>
    <x v="0"/>
    <s v="0.03 INCENTIVOS SALARIALES"/>
    <s v="0.03.04 Salario escolar"/>
    <n v="28193115.91"/>
    <m/>
    <m/>
    <m/>
    <n v="-2200000"/>
    <m/>
    <m/>
    <m/>
    <n v="25993115.91"/>
    <m/>
    <m/>
    <n v="25974267.420000002"/>
    <n v="18848.489999998361"/>
    <x v="0"/>
    <x v="0"/>
    <s v="01-02 Dirección de Promoción de Ciencia, Tecnología e Innovación"/>
    <s v="DP0101"/>
    <s v="Ejecutar 90% PRESU-planilla TC-5048 DP"/>
    <s v="DP0101"/>
    <s v="Ejecutar 90% de la planilla de la Dirección de Promoción"/>
    <s v="Corresponde al pago del salario escolar.  Corresponde al 8.33% del salario devengado.  Programa 1"/>
  </r>
  <r>
    <x v="0"/>
    <s v="0.03 INCENTIVOS SALARIALES"/>
    <s v="0.03.04 Salario escolar"/>
    <n v="31538906.559999999"/>
    <m/>
    <m/>
    <m/>
    <n v="-500000"/>
    <n v="-2430000"/>
    <m/>
    <m/>
    <n v="28608906.559999999"/>
    <m/>
    <m/>
    <n v="28608521.300000001"/>
    <n v="385.25999999791384"/>
    <x v="0"/>
    <x v="1"/>
    <s v="02-06 Dirección de Soporte Administrativo"/>
    <s v="DSA0101"/>
    <s v="Ejecutar 90% PRESU-planilla TC-5048 DSA"/>
    <s v="SA0101"/>
    <s v="Ejecutar 90% de la planilla de Gestion Administrativa"/>
    <s v="Corresponde al pago del salario escolar.  Corresponde al 8.33% del salario devengado.  Programa 2"/>
  </r>
  <r>
    <x v="0"/>
    <s v="0.03 INCENTIVOS SALARIALES"/>
    <s v="0.03.99 Otros incentivos salariales"/>
    <n v="28298850"/>
    <m/>
    <m/>
    <m/>
    <m/>
    <n v="-2000000"/>
    <n v="-2000000"/>
    <m/>
    <n v="24298850"/>
    <m/>
    <m/>
    <n v="10578087.4"/>
    <n v="13720762.6"/>
    <x v="0"/>
    <x v="0"/>
    <s v="01-02 Dirección de Promoción de Ciencia, Tecnología e Innovación"/>
    <s v="DP0101"/>
    <s v="Ejecutar 90% PRESU-planilla TC-5048 DP"/>
    <s v="DP0101"/>
    <s v="Ejecutar 90% de la planilla de la Dirección de Promoción"/>
    <s v="Corresonde al pago de Carrera Profesional.  El valor del punto es de ¢2.273,00.  Porgrama 1"/>
  </r>
  <r>
    <x v="0"/>
    <s v="0.03 INCENTIVOS SALARIALES"/>
    <s v="0.03.99 Otros incentivos salariales"/>
    <n v="20523000"/>
    <m/>
    <m/>
    <m/>
    <m/>
    <m/>
    <n v="-500000"/>
    <m/>
    <n v="20023000"/>
    <m/>
    <m/>
    <n v="8684001.4700000007"/>
    <n v="11338998.529999999"/>
    <x v="0"/>
    <x v="1"/>
    <s v="02-06 Dirección de Soporte Administrativo"/>
    <s v="DSA0101"/>
    <s v="Ejecutar 90% PRESU-planilla TC-5048 DSA"/>
    <s v="SA0101"/>
    <s v="Ejecutar 90% de la planilla de Gestion Administrativa"/>
    <s v="Corresonde al pago de Carrera Profesional.  El valor del punto es de ¢2.273,00.  Porgrama 2"/>
  </r>
  <r>
    <x v="0"/>
    <s v="0.04 CONTRIBUCIONES PATRONALES AL DESARROLLO Y LA_x000a_SEGURIDAD SOCIAL"/>
    <s v="0.04.01 Contribución Patronal al Seguro de Salud de la Caja"/>
    <n v="33914744.630000003"/>
    <m/>
    <m/>
    <m/>
    <m/>
    <m/>
    <m/>
    <m/>
    <n v="33914744.630000003"/>
    <m/>
    <m/>
    <n v="15849753.199999999"/>
    <n v="18064991.430000003"/>
    <x v="0"/>
    <x v="0"/>
    <s v="01-02 Dirección de Promoción de Ciencia, Tecnología e Innovación"/>
    <s v="DP0101"/>
    <s v="Ejecutar 90% PRESU-planilla TC-5048 DP"/>
    <s v="DP0101"/>
    <s v="Ejecutar 90% de la planilla de la Dirección de Promoción"/>
    <s v="Corresponde al 9.25% de los salarios devengados.  Programa 1"/>
  </r>
  <r>
    <x v="0"/>
    <s v="0.04 CONTRIBUCIONES PATRONALES AL DESARROLLO Y LA_x000a_SEGURIDAD SOCIAL"/>
    <s v="0.04.01 Contribución Patronal al Seguro de Salud de la Caja"/>
    <n v="37939544.009999998"/>
    <m/>
    <m/>
    <m/>
    <m/>
    <m/>
    <m/>
    <m/>
    <n v="37939544.009999998"/>
    <m/>
    <m/>
    <n v="20801186.710000001"/>
    <n v="17138357.299999997"/>
    <x v="0"/>
    <x v="1"/>
    <s v="02-06 Dirección de Soporte Administrativo"/>
    <s v="DSA0101"/>
    <s v="Ejecutar 90% PRESU-planilla TC-5048 DSA"/>
    <s v="SA0101"/>
    <s v="Ejecutar 90% de la planilla de Gestion Administrativa"/>
    <s v="Corresponde al 9.25% de los salarios devengados.  Programa 2"/>
  </r>
  <r>
    <x v="0"/>
    <s v="0.04 CONTRIBUCIONES PATRONALES AL DESARROLLO Y LA_x000a_SEGURIDAD SOCIAL"/>
    <s v="0.04.03 Contribución Patronal al Instituto Nacional de Aprendizaje"/>
    <n v="5499688.3200000003"/>
    <m/>
    <m/>
    <m/>
    <m/>
    <m/>
    <m/>
    <m/>
    <n v="5499688.3200000003"/>
    <m/>
    <m/>
    <n v="2570019.4900000002"/>
    <n v="2929668.83"/>
    <x v="0"/>
    <x v="0"/>
    <s v="01-02 Dirección de Promoción de Ciencia, Tecnología e Innovación"/>
    <s v="DP0101"/>
    <s v="Ejecutar 90% PRESU-planilla TC-5048 DP"/>
    <s v="DP0101"/>
    <s v="Ejecutar 90% de la planilla de la Dirección de Promoción"/>
    <s v="Corresponde al 1,50% de los salarios devengados.  Programa 1"/>
  </r>
  <r>
    <x v="0"/>
    <s v="0.04 CONTRIBUCIONES PATRONALES AL DESARROLLO Y LA_x000a_SEGURIDAD SOCIAL"/>
    <s v="0.04.03 Contribución Patronal al Instituto Nacional de Aprendizaje"/>
    <n v="6152358.4900000002"/>
    <m/>
    <m/>
    <m/>
    <m/>
    <m/>
    <m/>
    <m/>
    <n v="6152358.4900000002"/>
    <m/>
    <m/>
    <n v="3353607.76"/>
    <n v="2798750.7300000004"/>
    <x v="0"/>
    <x v="1"/>
    <s v="02-06 Dirección de Soporte Administrativo"/>
    <s v="DSA0101"/>
    <s v="Ejecutar 90% PRESU-planilla TC-5048 DSA"/>
    <s v="SA0101"/>
    <s v="Ejecutar 90% de la planilla de Gestion Administrativa"/>
    <s v="Corresponde al 1,50% de los salarios devengados.  Programa 2"/>
  </r>
  <r>
    <x v="0"/>
    <s v="0.04 CONTRIBUCIONES PATRONALES AL DESARROLLO Y LA_x000a_SEGURIDAD SOCIAL"/>
    <s v="0.04.04 Contribución Patronal al Fondo de Desarrollo Social y"/>
    <n v="18332294.399999999"/>
    <m/>
    <m/>
    <m/>
    <m/>
    <m/>
    <m/>
    <m/>
    <n v="18332294.399999999"/>
    <m/>
    <m/>
    <n v="8566732.6099999994"/>
    <n v="9765561.7899999991"/>
    <x v="0"/>
    <x v="0"/>
    <s v="01-02 Dirección de Promoción de Ciencia, Tecnología e Innovación"/>
    <s v="DP0101"/>
    <s v="Ejecutar 90% PRESU-planilla TC-5048 DP"/>
    <s v="DP0101"/>
    <s v="Ejecutar 90% de la planilla de la Dirección de Promoción"/>
    <s v="Corresponde al 5,0% de los salarios devengados.  Programa 1"/>
  </r>
  <r>
    <x v="0"/>
    <s v="0.04 CONTRIBUCIONES PATRONALES AL DESARROLLO Y LA_x000a_SEGURIDAD SOCIAL"/>
    <s v="0.04.04 Contribución Patronal al Fondo de Desarrollo Social y"/>
    <n v="20507861.629999999"/>
    <m/>
    <m/>
    <m/>
    <m/>
    <m/>
    <m/>
    <m/>
    <n v="20507861.629999999"/>
    <m/>
    <m/>
    <n v="11178713.92"/>
    <n v="9329147.709999999"/>
    <x v="0"/>
    <x v="1"/>
    <s v="02-06 Dirección de Soporte Administrativo"/>
    <s v="DSA0101"/>
    <s v="Ejecutar 90% PRESU-planilla TC-5048 DSA"/>
    <s v="SA0101"/>
    <s v="Ejecutar 90% de la planilla de Gestion Administrativa"/>
    <s v="Corresponde al 5,0% de los salarios devengados.  Programa 2"/>
  </r>
  <r>
    <x v="0"/>
    <s v="0.04 CONTRIBUCIONES PATRONALES AL DESARROLLO Y LA_x000a_SEGURIDAD SOCIAL"/>
    <s v="0.04.05 Contribución Patronal al Banco Popular y de Desarrollo"/>
    <n v="1833229.44"/>
    <m/>
    <m/>
    <m/>
    <m/>
    <m/>
    <m/>
    <m/>
    <n v="1833229.44"/>
    <m/>
    <m/>
    <n v="856673.5"/>
    <n v="976555.94"/>
    <x v="0"/>
    <x v="0"/>
    <s v="01-02 Dirección de Promoción de Ciencia, Tecnología e Innovación"/>
    <s v="DP0101"/>
    <s v="Ejecutar 90% PRESU-planilla TC-5048 DP"/>
    <s v="DP0101"/>
    <s v="Ejecutar 90% de la planilla de la Dirección de Promoción"/>
    <s v="Corresponde al 0,25% de los salarios devengados.  Programa 1"/>
  </r>
  <r>
    <x v="0"/>
    <s v="0.04 CONTRIBUCIONES PATRONALES AL DESARROLLO Y LA_x000a_SEGURIDAD SOCIAL"/>
    <s v="0.04.05 Contribución Patronal al Banco Popular y de Desarrollo"/>
    <n v="2050786.16"/>
    <m/>
    <m/>
    <m/>
    <m/>
    <m/>
    <m/>
    <m/>
    <n v="2050786.16"/>
    <m/>
    <m/>
    <n v="1117862.68"/>
    <n v="932923.48"/>
    <x v="0"/>
    <x v="1"/>
    <s v="02-06 Dirección de Soporte Administrativo"/>
    <s v="DSA0101"/>
    <s v="Ejecutar 90% PRESU-planilla TC-5048 DSA"/>
    <s v="SA0101"/>
    <s v="Ejecutar 90% de la planilla de Gestion Administrativa"/>
    <s v="Corresponde al 0,25% de los salarios devengados.  Programa 2"/>
  </r>
  <r>
    <x v="0"/>
    <s v="0.05 CONTRIBUCIONES PATRONALES A FONDOS DE PENSIONES Y_x000a_OTROS FONDOS DE CAPITALIZACIÓN"/>
    <s v="0.05.01 Contribución Patronal al Seguro de Pensiones de la Caja"/>
    <n v="19248909.120000001"/>
    <m/>
    <m/>
    <m/>
    <m/>
    <m/>
    <m/>
    <m/>
    <n v="19248909.120000001"/>
    <m/>
    <m/>
    <n v="8993768.9399999995"/>
    <n v="10255140.180000002"/>
    <x v="0"/>
    <x v="0"/>
    <s v="01-02 Dirección de Promoción de Ciencia, Tecnología e Innovación"/>
    <s v="DP0101"/>
    <s v="Ejecutar 90% PRESU-planilla TC-5048 DP"/>
    <s v="DP0101"/>
    <s v="Ejecutar 90% de la planilla de la Dirección de Promoción"/>
    <s v="Corresponde al 5.25% de los salarios devengados. Programa 1"/>
  </r>
  <r>
    <x v="0"/>
    <s v="0.05 CONTRIBUCIONES PATRONALES A FONDOS DE PENSIONES Y_x000a_OTROS FONDOS DE CAPITALIZACIÓN"/>
    <s v="0.05.01 Contribución Patronal al Seguro de Pensiones de la Caja"/>
    <n v="21533254.710000001"/>
    <m/>
    <m/>
    <m/>
    <m/>
    <m/>
    <m/>
    <m/>
    <n v="21533254.710000001"/>
    <m/>
    <m/>
    <n v="11581344.220000001"/>
    <n v="9951910.4900000002"/>
    <x v="0"/>
    <x v="1"/>
    <s v="02-06 Dirección de Soporte Administrativo"/>
    <s v="DSA0101"/>
    <s v="Ejecutar 90% PRESU-planilla TC-5048 DSA"/>
    <s v="SA0101"/>
    <s v="Ejecutar 90% de la planilla de Gestion Administrativa"/>
    <s v="Corresponde al 5.25% de los salarios devengados. Programa 2"/>
  </r>
  <r>
    <x v="0"/>
    <s v="0.05 CONTRIBUCIONES PATRONALES A FONDOS DE PENSIONES Y_x000a_OTROS FONDOS DE CAPITALIZACIÓN"/>
    <s v="0.05.02 Aporte Patronal al Régimen Obligatorio de Pensiones"/>
    <n v="5499688.3200000003"/>
    <m/>
    <m/>
    <m/>
    <m/>
    <n v="4500000"/>
    <m/>
    <m/>
    <n v="9999688.3200000003"/>
    <m/>
    <m/>
    <n v="5140039.6900000004"/>
    <n v="4859648.63"/>
    <x v="0"/>
    <x v="0"/>
    <s v="01-02 Dirección de Promoción de Ciencia, Tecnología e Innovación"/>
    <s v="DP0101"/>
    <s v="Ejecutar 90% PRESU-planilla TC-5048 DP"/>
    <s v="DP0101"/>
    <s v="Ejecutar 90% de la planilla de la Dirección de Promoción"/>
    <s v="Corresponde al 0,50% de los salarios devengados. Programa 1"/>
  </r>
  <r>
    <x v="0"/>
    <s v="0.05 CONTRIBUCIONES PATRONALES A FONDOS DE PENSIONES Y_x000a_OTROS FONDOS DE CAPITALIZACIÓN"/>
    <s v="0.05.02 Aporte Patronal al Régimen Obligatorio de Pensiones"/>
    <n v="6152358.4900000002"/>
    <m/>
    <m/>
    <m/>
    <m/>
    <n v="5630000"/>
    <m/>
    <m/>
    <n v="11782358.49"/>
    <m/>
    <m/>
    <n v="6533002.2400000002"/>
    <n v="5249356.25"/>
    <x v="0"/>
    <x v="1"/>
    <s v="02-06 Dirección de Soporte Administrativo"/>
    <s v="DSA0101"/>
    <s v="Ejecutar 90% PRESU-planilla TC-5048 DSA"/>
    <s v="SA0101"/>
    <s v="Ejecutar 90% de la planilla de Gestion Administrativa"/>
    <s v="Corresponde al 0,50% de los salarios devengados. Programa 2"/>
  </r>
  <r>
    <x v="0"/>
    <s v="0.05 CONTRIBUCIONES PATRONALES A FONDOS DE PENSIONES Y_x000a_OTROS FONDOS DE CAPITALIZACIÓN"/>
    <s v="0.05.03 Aporte Patronal al Fondo de Capitalización Laboral"/>
    <n v="5499688.3200000003"/>
    <m/>
    <m/>
    <m/>
    <m/>
    <m/>
    <m/>
    <m/>
    <n v="5499688.3200000003"/>
    <m/>
    <m/>
    <n v="2570019.4900000002"/>
    <n v="2929668.83"/>
    <x v="0"/>
    <x v="0"/>
    <s v="01-02 Dirección de Promoción de Ciencia, Tecnología e Innovación"/>
    <s v="DP0101"/>
    <s v="Ejecutar 90% PRESU-planilla TC-5048 DP"/>
    <s v="DP0101"/>
    <s v="Ejecutar 90% de la planilla de la Dirección de Promoción"/>
    <s v="Corresponde al 1,0% de los salarios devengados. Programa 1"/>
  </r>
  <r>
    <x v="0"/>
    <s v="0.05 CONTRIBUCIONES PATRONALES A FONDOS DE PENSIONES Y_x000a_OTROS FONDOS DE CAPITALIZACIÓN"/>
    <s v="0.05.03 Aporte Patronal al Fondo de Capitalización Laboral"/>
    <n v="6152358.4900000002"/>
    <m/>
    <m/>
    <m/>
    <m/>
    <m/>
    <m/>
    <m/>
    <n v="6152358.4900000002"/>
    <m/>
    <m/>
    <n v="3527835.76"/>
    <n v="2624522.7300000004"/>
    <x v="0"/>
    <x v="1"/>
    <s v="02-06 Dirección de Soporte Administrativo"/>
    <s v="DSA0101"/>
    <s v="Ejecutar 90% PRESU-planilla TC-5048 DSA"/>
    <s v="SA0101"/>
    <s v="Ejecutar 90% de la planilla de Gestion Administrativa"/>
    <s v="Corresponde al 1,0% de los salarios devengados. Programa 2"/>
  </r>
  <r>
    <x v="0"/>
    <s v="0.05 CONTRIBUCIONES PATRONALES A FONDOS DE PENSIONES Y_x000a_OTROS FONDOS DE CAPITALIZACIÓN"/>
    <s v="0.05.05 Contribución Patronal a fondos administrados por entes"/>
    <n v="19542225.829999998"/>
    <m/>
    <m/>
    <m/>
    <m/>
    <m/>
    <m/>
    <m/>
    <n v="19542225.829999998"/>
    <m/>
    <m/>
    <n v="8267504.1299999999"/>
    <n v="11274721.699999999"/>
    <x v="0"/>
    <x v="0"/>
    <s v="01-02 Dirección de Promoción de Ciencia, Tecnología e Innovación"/>
    <s v="DP0101"/>
    <s v="Ejecutar 90% PRESU-planilla TC-5048 DP"/>
    <s v="DP0101"/>
    <s v="Ejecutar 90% de la planilla de la Dirección de Promoción"/>
    <s v="Corresponde al 5.33% del Aporte Patronal a la Asociación Solidarista. Programa 1"/>
  </r>
  <r>
    <x v="0"/>
    <s v="0.05 CONTRIBUCIONES PATRONALES A FONDOS DE PENSIONES Y_x000a_OTROS FONDOS DE CAPITALIZACIÓN"/>
    <s v="0.05.05 Contribución Patronal a fondos administrados por entes"/>
    <n v="21861380.5"/>
    <m/>
    <m/>
    <m/>
    <m/>
    <m/>
    <m/>
    <m/>
    <n v="21861380.5"/>
    <m/>
    <m/>
    <n v="10358019.34"/>
    <n v="11503361.16"/>
    <x v="0"/>
    <x v="1"/>
    <s v="02-06 Dirección de Soporte Administrativo"/>
    <s v="DSA0101"/>
    <s v="Ejecutar 90% PRESU-planilla TC-5048 DSA"/>
    <s v="SA0101"/>
    <s v="Ejecutar 90% de la planilla de Gestion Administrativa"/>
    <s v="Corresponde al 5.33% del Aporte Patronal a la Asociación Solidarista. Programa 2"/>
  </r>
  <r>
    <x v="1"/>
    <s v="1.01 ALQUILERES"/>
    <s v="1.01.99 Otros alquileres"/>
    <n v="811310"/>
    <m/>
    <m/>
    <m/>
    <m/>
    <m/>
    <m/>
    <m/>
    <n v="811310"/>
    <n v="152839.28"/>
    <n v="0"/>
    <n v="58470.720000000001"/>
    <n v="600000"/>
    <x v="0"/>
    <x v="1"/>
    <s v="02-10- Unidad de Tecnologías de Información y Comunicación"/>
    <s v="TC0101"/>
    <s v="Ejecutar 90% PRESU TC 5048 TIC"/>
    <s v="TC0101"/>
    <s v="Ejecutar el 90% del Plan de Trabajo de la Unidad de TIC"/>
    <s v="Para pago del contrato de medios magnéticos que se tiene con el Banco Nacional para el resguardo de discos externos de respaldo._x000a_Para almacenamiento 1 TB de informacion de trabajo de los usuarios y carpetas compartidas de cada una de las áreas de trabajo, así como de las Bases de datos que se utilizan en los sistemas como apoyo al teletrabajo"/>
  </r>
  <r>
    <x v="1"/>
    <s v="1.02 SERVICIOS BÁSICOS"/>
    <s v="1.02.01 Servicio de agua y alcantarillado"/>
    <n v="1656000"/>
    <m/>
    <m/>
    <m/>
    <m/>
    <m/>
    <m/>
    <m/>
    <n v="1656000"/>
    <n v="1189804"/>
    <n v="0"/>
    <n v="10196"/>
    <n v="456000"/>
    <x v="0"/>
    <x v="1"/>
    <s v="02-09 Unidad Recursos Materiales y Servicios"/>
    <s v="RM0101"/>
    <s v="Ejecutar 90% PRESU TC 5048 RMS"/>
    <s v="RM0101"/>
    <s v="Ejecutar el 90% del Plan de Trabajo de la Unidad de Recursos Materiales y Servicios"/>
    <s v="Pago  del servicio de agua y alcantarillado, el costo se estima de acuerdo al promedio de lo cancelado en el año 2019-2020"/>
  </r>
  <r>
    <x v="1"/>
    <s v="1.02 SERVICIOS BÁSICOS"/>
    <s v="1.02.02 Servicio de energía eléctrica"/>
    <n v="6000000"/>
    <m/>
    <m/>
    <m/>
    <m/>
    <m/>
    <m/>
    <m/>
    <n v="6000000"/>
    <n v="3505290"/>
    <n v="0"/>
    <n v="2254275"/>
    <n v="240435"/>
    <x v="0"/>
    <x v="1"/>
    <s v="02-09 Unidad Recursos Materiales y Servicios"/>
    <s v="RM0101"/>
    <s v="Ejecutar 90% PRESU TC 5048 RMS"/>
    <s v="RM0101"/>
    <s v="Ejecutar el 90% del Plan de Trabajo de la Unidad de Recursos Materiales y Servicios"/>
    <s v="Pago del servicio de energía eléctrica el costo se estima de acuerdo al promedio de lo cancelado en el año 2019-2020"/>
  </r>
  <r>
    <x v="1"/>
    <s v="1.02 SERVICIOS BÁSICOS"/>
    <s v="1.02.03 Servicio de correo"/>
    <n v="25000"/>
    <m/>
    <m/>
    <m/>
    <m/>
    <m/>
    <m/>
    <m/>
    <n v="25000"/>
    <n v="6072"/>
    <n v="0"/>
    <n v="18928"/>
    <n v="0"/>
    <x v="0"/>
    <x v="1"/>
    <s v="02-09 Unidad Recursos Materiales y Servicios"/>
    <s v="RM0101"/>
    <s v="Ejecutar 90% PRESU TC 5048 RMS"/>
    <s v="RM0101"/>
    <s v="Ejecutar el 90% del Plan de Trabajo de la Unidad de Recursos Materiales y Servicios"/>
    <s v="Pago del servicio anual de apartado postal 599-2200, Coronado, San José."/>
  </r>
  <r>
    <x v="1"/>
    <s v="1.02 SERVICIOS BÁSICOS"/>
    <s v="1.02.04 Servicio de telecomunicaciones"/>
    <n v="5330356.4400000004"/>
    <m/>
    <m/>
    <m/>
    <m/>
    <m/>
    <m/>
    <m/>
    <n v="5330356.4400000004"/>
    <n v="3316688.09"/>
    <n v="0"/>
    <n v="2001435.38"/>
    <n v="12232.970000000671"/>
    <x v="0"/>
    <x v="1"/>
    <s v="02-09 Unidad Recursos Materiales y Servicios"/>
    <s v="RM0101"/>
    <s v="Ejecutar 90% PRESU TC 5048 RMS"/>
    <s v="RM0101"/>
    <s v="Ejecutar el 90% del Plan de Trabajo de la Unidad de Recursos Materiales y Servicios"/>
    <s v="Pago del servicio de telecomunicaciones (central telefónica, 2 líneas fijas, 2 datacard, 2 líneas celular e internet simétrico)"/>
  </r>
  <r>
    <x v="1"/>
    <s v="1.02 SERVICIOS BÁSICOS"/>
    <s v="1.02.04 Servicio de telecomunicaciones"/>
    <n v="4269643.5599999996"/>
    <m/>
    <m/>
    <m/>
    <m/>
    <m/>
    <m/>
    <m/>
    <n v="4269643.5599999996"/>
    <n v="0"/>
    <n v="1535661.99"/>
    <n v="2154131.37"/>
    <n v="579850.19999999925"/>
    <x v="0"/>
    <x v="1"/>
    <s v="02-10- Unidad de Tecnologías de Información y Comunicación"/>
    <s v="TC0101"/>
    <s v="Ejecutar 90% PRESU TC 5048 TIC"/>
    <s v="TC0101"/>
    <s v="Ejecutar el 90% del Plan de Trabajo de la Unidad de TIC"/>
    <s v="Pago internet simétrico"/>
  </r>
  <r>
    <x v="1"/>
    <s v="1.02 SERVICIOS BÁSICOS"/>
    <s v="1.02.99 Otros servicios básicos"/>
    <n v="920000"/>
    <m/>
    <m/>
    <m/>
    <m/>
    <m/>
    <m/>
    <m/>
    <n v="920000"/>
    <n v="474602.6"/>
    <n v="0"/>
    <n v="445397.4"/>
    <n v="0"/>
    <x v="0"/>
    <x v="1"/>
    <s v="02-09 Unidad Recursos Materiales y Servicios"/>
    <s v="RM0101"/>
    <s v="Ejecutar 90% PRESU TC 5048 RMS"/>
    <s v="RM0101"/>
    <s v="Ejecutar el 90% del Plan de Trabajo de la Unidad de Recursos Materiales y Servicios"/>
    <s v="Pago de impuestos municipales "/>
  </r>
  <r>
    <x v="1"/>
    <s v="1.03 SERVICIOS COMERCIALES Y FINANCIEROS"/>
    <s v="1.03.01 Información"/>
    <n v="0"/>
    <m/>
    <m/>
    <m/>
    <n v="506000"/>
    <m/>
    <m/>
    <m/>
    <n v="506000"/>
    <n v="0"/>
    <n v="0"/>
    <n v="0"/>
    <n v="506000"/>
    <x v="0"/>
    <x v="1"/>
    <s v="02-02 Secretaría Ejecutiva"/>
    <s v="SE0101"/>
    <s v="Ejecutar 90% PRESU TC 5048 SE"/>
    <s v="SE0101"/>
    <s v="Ejecutar el 90% del Plan de Trabajo de la Secretaría Ejecutiva."/>
    <s v="Para publicación en el Diario Oficial La Gaceta de Reglamentos, Leyes y otros documentos que por normativa deben de publicarse para conocimiento de terceros tal como el proyecto de Ley N°21660 así como otras publicaciones que surjan"/>
  </r>
  <r>
    <x v="1"/>
    <s v="1.03 SERVICIOS COMERCIALES Y FINANCIEROS"/>
    <s v="1.03.01 Información"/>
    <n v="0"/>
    <m/>
    <m/>
    <m/>
    <n v="220000"/>
    <m/>
    <m/>
    <m/>
    <n v="220000"/>
    <n v="0"/>
    <n v="0"/>
    <n v="0"/>
    <n v="220000"/>
    <x v="0"/>
    <x v="1"/>
    <s v="02-07 Unidad de Finanzas"/>
    <s v="FI0103"/>
    <s v="Ejecutar 90% PRESU TC 5048 FI"/>
    <s v="FI0101"/>
    <s v="Ejecutar el 90% del Plan de Trabajo de la Unidad de Finanzas"/>
    <s v="Para publicación en el Diario Oficial La Gaceta de Reglamentos, Leyes y otros documentos que por normativa deben de publicarse para conocimiento de terceros tal como el Reglamento de Caja Chica así como otras publicaciones que surjan"/>
  </r>
  <r>
    <x v="1"/>
    <s v="1.03 SERVICIOS COMERCIALES Y FINANCIEROS"/>
    <s v="1.03.03 Impresión, encuadernación y otros"/>
    <n v="50000"/>
    <m/>
    <m/>
    <m/>
    <m/>
    <m/>
    <m/>
    <m/>
    <n v="50000"/>
    <n v="0"/>
    <n v="0"/>
    <n v="0"/>
    <n v="50000"/>
    <x v="0"/>
    <x v="1"/>
    <s v="02-07 Unidad de Finanzas"/>
    <s v="FI0103"/>
    <s v="Ejecutar 90% PRESU TC 5048 FI"/>
    <s v="FI0101"/>
    <s v="Ejecutar el 90% del Plan de Trabajo de la Unidad de Finanzas"/>
    <s v="Empastes de libros legales (Inventario y balances, Libro mayor y libro de diario), 16 empastes comprobantes de diario año 2012-2019. La base de cálculo: El costo se establece mediante una cotización de octubre del año 2018, por un costo unitario de ¢6.500 cada empaste, se le aplica un aumento del 5% de inflación anualizada. Los empastes son importantes realizarlos para cumplir con la normas de control interno &quot;Normas sobre sistemas de información&quot;, en las variables 5.4 &quot;Gestión Documental&quot;, 5.5. &quot;Archivo Institucional&quot;.  "/>
  </r>
  <r>
    <x v="1"/>
    <s v="1.03 SERVICIOS COMERCIALES Y FINANCIEROS"/>
    <s v="1.03.03 Impresión, encuadernación y otros"/>
    <n v="60000"/>
    <m/>
    <m/>
    <m/>
    <m/>
    <m/>
    <m/>
    <m/>
    <n v="60000"/>
    <n v="0"/>
    <n v="44635"/>
    <n v="0"/>
    <n v="15365"/>
    <x v="0"/>
    <x v="1"/>
    <s v="02-02 Secretaría Ejecutiva"/>
    <s v="SE0101"/>
    <s v="Ejecutar 90% PRESU TC 5048 SE"/>
    <s v="SE0101"/>
    <s v="Ejecutar el 90% del Plan de Trabajo de la Secretaría Ejecutiva."/>
    <s v="Las actas y anexos de actas del Consejo Director deben estar empastadas, de acuerdo a la normativa vigente."/>
  </r>
  <r>
    <x v="1"/>
    <s v="1.03 SERVICIOS COMERCIALES Y FINANCIEROS"/>
    <s v="1.03.06 Comisiones y gastos por servicios financieros y comerciales"/>
    <n v="2760000"/>
    <m/>
    <m/>
    <m/>
    <n v="176000"/>
    <m/>
    <m/>
    <m/>
    <n v="2936000"/>
    <n v="1427841.65"/>
    <n v="0"/>
    <n v="1332158.3500000001"/>
    <n v="176000"/>
    <x v="0"/>
    <x v="1"/>
    <s v="02-09 Unidad Recursos Materiales y Servicios"/>
    <s v="RM0101"/>
    <s v="Ejecutar 90% PRESU TC 5048 RMS"/>
    <s v="RM0101"/>
    <s v="Ejecutar el 90% del Plan de Trabajo de la Unidad de Recursos Materiales y Servicios"/>
    <s v="Pago por la utilización del SICOP"/>
  </r>
  <r>
    <x v="1"/>
    <s v="1.03 SERVICIOS COMERCIALES Y FINANCIEROS"/>
    <s v="1.03.06 Comisiones y gastos por servicios financieros y comerciales"/>
    <m/>
    <m/>
    <m/>
    <m/>
    <m/>
    <n v="23750"/>
    <m/>
    <m/>
    <n v="23750"/>
    <n v="23750"/>
    <m/>
    <m/>
    <n v="0"/>
    <x v="0"/>
    <x v="0"/>
    <s v="01-05 Unidad de Vinculación y Asesoría"/>
    <s v="VA0101"/>
    <s v="Ejecutar 90% PRESU TC 5048 VA"/>
    <s v="VA0101"/>
    <s v="Ejecutar el 90% del Plan de Trabajo de la Unidad de Vinculación y Asesoría"/>
    <s v="Comisión transferencia bancaria pago Interciencia"/>
  </r>
  <r>
    <x v="1"/>
    <s v="1.03 SERVICIOS COMERCIALES Y FINANCIEROS"/>
    <s v="1.03.07 Servicios de transferencia electrónica de información"/>
    <n v="380000"/>
    <m/>
    <m/>
    <m/>
    <m/>
    <m/>
    <m/>
    <m/>
    <n v="380000"/>
    <n v="354849.18"/>
    <n v="0"/>
    <n v="25150.82"/>
    <n v="0"/>
    <x v="0"/>
    <x v="1"/>
    <s v="02-10- Unidad de Tecnologías de Información y Comunicación"/>
    <s v="TC0101"/>
    <s v="Ejecutar 90% PRESU TC 5048 TIC"/>
    <s v="TC0101"/>
    <s v="Ejecutar el 90% del Plan de Trabajo de la Unidad de TIC"/>
    <s v="Para renovación de 19 certificados digitales para el 2021, según inventario de certificados digitales registrados al 2019"/>
  </r>
  <r>
    <x v="1"/>
    <s v="1.04 SERVICIOS DE GESTIÓN Y APOYO"/>
    <s v="1.04.01 Servicios médicos y de laboratorio"/>
    <n v="0"/>
    <n v="1050000"/>
    <m/>
    <m/>
    <m/>
    <m/>
    <m/>
    <m/>
    <n v="1050000"/>
    <n v="0"/>
    <n v="592257.12"/>
    <n v="455582.4"/>
    <n v="2160.4799999999814"/>
    <x v="0"/>
    <x v="1"/>
    <s v="02-10- Unidad de Tecnologías de Información y Comunicación"/>
    <s v="DH0101"/>
    <s v="Ejecutar 90% PRESU TC 5048 GDH"/>
    <s v="DH0101"/>
    <m/>
    <s v="Médico de Empresa"/>
  </r>
  <r>
    <x v="1"/>
    <s v="1.04 SERVICIOS DE GESTIÓN Y APOYO"/>
    <s v="1.04.03 Servicios de ingeniería"/>
    <n v="0"/>
    <m/>
    <m/>
    <m/>
    <n v="225000"/>
    <m/>
    <m/>
    <m/>
    <n v="225000"/>
    <n v="0"/>
    <n v="0"/>
    <n v="0"/>
    <n v="225000"/>
    <x v="0"/>
    <x v="1"/>
    <m/>
    <s v="RM0101"/>
    <s v="Ejecutar 90% PRESU TC 5048 RMS"/>
    <s v="RM0101"/>
    <m/>
    <s v="Contratación de peritaje para 3 vehiculo de la institución en cumplimiento con la NICSP 17."/>
  </r>
  <r>
    <x v="1"/>
    <s v="1.04 SERVICIOS DE GESTIÓN Y APOYO"/>
    <s v="1.04.04 Servicios en ciencias económicas y sociales"/>
    <n v="0"/>
    <m/>
    <m/>
    <m/>
    <n v="10000000"/>
    <m/>
    <m/>
    <m/>
    <n v="10000000"/>
    <n v="10000000"/>
    <n v="0"/>
    <n v="0"/>
    <n v="0"/>
    <x v="0"/>
    <x v="1"/>
    <m/>
    <s v="SE0101"/>
    <s v="Ejecutar 90% PRESU TC 5048 SE"/>
    <s v="SE0101"/>
    <s v="Ejecutar el 90% del Plan de Trabajo de la Secretaría Ejecutiva."/>
    <s v="Contratación de una Auditoría Externa de los EEFF del período 2018 al 2020, en cumplimiento con lo indicado en en la Directriz N°DCN-0001-2020 del 14/01/2020 emitido por la CN."/>
  </r>
  <r>
    <x v="1"/>
    <s v="1.04 SERVICIOS DE GESTIÓN Y APOYO"/>
    <s v="1.04.04 Servicios en ciencias económicas y sociales"/>
    <n v="0"/>
    <m/>
    <m/>
    <m/>
    <n v="6500000"/>
    <m/>
    <m/>
    <m/>
    <n v="6500000"/>
    <n v="6500000"/>
    <n v="0"/>
    <n v="0"/>
    <n v="0"/>
    <x v="0"/>
    <x v="1"/>
    <m/>
    <s v="DH0101"/>
    <s v="Ejecutar 90% PRESU TC 5048 GDH"/>
    <s v="DH0101"/>
    <m/>
    <s v="Contratación de Sevicio de Consultoría para realizar estudio de cargas de trabajo solicitado por la Licda. Gabriela Díaz, DSA, en demanda judicial expediente N° TE: 20-000590-1550-LA-7, proceso: OR.S.PUB. Empleo Público."/>
  </r>
  <r>
    <x v="1"/>
    <s v="1.04 SERVICIOS DE GESTIÓN Y APOYO"/>
    <s v="1.04.06 Servicios generales"/>
    <n v="39816000"/>
    <m/>
    <m/>
    <m/>
    <n v="3400000"/>
    <m/>
    <m/>
    <m/>
    <n v="43216000"/>
    <n v="2535367.1800000002"/>
    <n v="22422293.489999998"/>
    <n v="16167793.85"/>
    <n v="2090545.4800000023"/>
    <x v="0"/>
    <x v="1"/>
    <s v="02-09 Unidad Recursos Materiales y Servicios"/>
    <s v="RM0101"/>
    <s v="Ejecutar 90% PRESU TC 5048 RMS"/>
    <s v="RM0101"/>
    <s v="Ejecutar el 90% del Plan de Trabajo de la Unidad de Recursos Materiales y Servicios"/>
    <s v="Pago por los servicios de seguridad y vigilancia, el costo se basa al de acuerdo al monto mensual contratado, mas un estimado del reajuste  de precios mensual._x000a_Pago por el servicio de limpieza, el costo se basa al de acuerdo al monto mensual contratado, mas un estimado del reajuste de precios mensual._x000a_Reajustes de precios presentados en el 2020 por la empresa SEVIN y DEQUISA y los que se presenten en el 2021._x000a_"/>
  </r>
  <r>
    <x v="1"/>
    <s v="1.04 SERVICIOS DE GESTIÓN Y APOYO"/>
    <s v="1.04.06 Servicios generales"/>
    <n v="282500"/>
    <m/>
    <m/>
    <m/>
    <n v="200000"/>
    <m/>
    <m/>
    <m/>
    <n v="482500"/>
    <n v="0"/>
    <n v="0"/>
    <n v="0"/>
    <n v="482500"/>
    <x v="0"/>
    <x v="1"/>
    <s v="02-08 Unidad Gestión del Desarrollo Humano"/>
    <s v="DH0101"/>
    <s v="Ejecutar 90% PRESU TC 5048 DH"/>
    <s v="DH0101"/>
    <s v="Ejecutar 90% del Plan de Trabajo de Gestión del Desarrollo Humano"/>
    <s v="Es de suma importancia que los extintores tengan las etiquetas actualizadas, se haya realizado las pruebas hidrostáticas, con el fin de que al presentarse una emergencia, no se de ningún inconveniente en el uso de los mismos. También el Minsiterio de Salud, puede realizar una visita y ver que nos encontremos al día con esto., sino puede ser una falta. _x000a_Para una eventual sanitización del edificio en caso de un caso positivo de COVID 19."/>
  </r>
  <r>
    <x v="1"/>
    <s v="1.04 SERVICIOS DE GESTIÓN Y APOYO"/>
    <s v="1.04.99 Otros servicios de gestión y apoyo"/>
    <n v="85000"/>
    <m/>
    <m/>
    <m/>
    <m/>
    <m/>
    <m/>
    <m/>
    <n v="85000"/>
    <n v="85000"/>
    <n v="0"/>
    <n v="0"/>
    <n v="0"/>
    <x v="0"/>
    <x v="1"/>
    <s v="02-09 Unidad Recursos Materiales y Servicios"/>
    <s v="RM0101"/>
    <s v="Ejecutar 90% PRESU TC 5048 RMS"/>
    <s v="RM0101"/>
    <s v="Ejecutar el 90% del Plan de Trabajo de la Unidad de Recursos Materiales y Servicios"/>
    <s v="Pago de la Revisón Técnica Vehicular ( 5 vehículos), el costo actual para RTV es de ¢15.927,25, por lo que se estima un aumento para el proximo año "/>
  </r>
  <r>
    <x v="1"/>
    <s v="1.06 SEGUROS, REASEGUROS Y OTRAS OBLIGACIONES"/>
    <s v="1.06.01 Seguros"/>
    <n v="3045421.4"/>
    <m/>
    <m/>
    <n v="435000"/>
    <m/>
    <m/>
    <m/>
    <n v="-104553"/>
    <n v="3375868.4"/>
    <n v="613416"/>
    <n v="0"/>
    <n v="2752151"/>
    <n v="10301.399999999907"/>
    <x v="0"/>
    <x v="1"/>
    <s v="02-09 Unidad Recursos Materiales y Servicios"/>
    <s v="RM0101"/>
    <s v="Ejecutar 90% PRESU TC 5048 RMS"/>
    <s v="RM0101"/>
    <s v="Ejecutar el 90% del Plan de Trabajo de la Unidad de Recursos Materiales y Servicios"/>
    <s v="Pago de la Póliza de Incendios del Edificio y planta eléctrica._x000a_Pago de la Póliza de 5 Vehículos institucionales "/>
  </r>
  <r>
    <x v="1"/>
    <s v="1.06 SEGUROS, REASEGUROS Y OTRAS OBLIGACIONES"/>
    <s v="1.06.01 Seguros"/>
    <n v="4000000"/>
    <m/>
    <m/>
    <n v="-435000"/>
    <n v="-1065000"/>
    <m/>
    <m/>
    <m/>
    <n v="2500000"/>
    <n v="0"/>
    <n v="0"/>
    <n v="2434558"/>
    <n v="65442"/>
    <x v="0"/>
    <x v="1"/>
    <s v="02-08 Unidad Gestión del Desarrollo Humano"/>
    <s v="DH0101"/>
    <s v="Ejecutar 90% PRESU TC 5048 DH"/>
    <s v="DH0101"/>
    <s v="Ejecutar 90% de la planilla de Gestion Administrativa"/>
    <s v="Póliza de riesgos de trabajo"/>
  </r>
  <r>
    <x v="1"/>
    <s v="1.06 SEGUROS, REASEGUROS Y OTRAS OBLIGACIONES"/>
    <s v="1.06.01 Seguros"/>
    <n v="800000"/>
    <m/>
    <m/>
    <m/>
    <m/>
    <m/>
    <m/>
    <n v="104553"/>
    <n v="904553"/>
    <n v="0"/>
    <n v="0"/>
    <n v="904553"/>
    <n v="0"/>
    <x v="0"/>
    <x v="1"/>
    <s v="02-10- Unidad de Tecnologías de Información y Comunicación"/>
    <s v="TC0101"/>
    <s v="Ejecutar 90% PRESU TC 5048 TIC"/>
    <s v="TC0101"/>
    <s v="Ejecutar el 90% del Plan de Trabajo de la Unidad de TIC"/>
    <s v="Renovación de la Póliza 0101EQE001003208 de equipo electrónico 2020"/>
  </r>
  <r>
    <x v="1"/>
    <s v="1.08 MANTENIMIENTO Y REPARACIÓN"/>
    <s v="1.08.01 Mantenimiento de edificios, locales y terrenos"/>
    <n v="1000000"/>
    <m/>
    <m/>
    <m/>
    <n v="1000000"/>
    <m/>
    <m/>
    <m/>
    <n v="2000000"/>
    <n v="2000000"/>
    <n v="0"/>
    <n v="0"/>
    <n v="0"/>
    <x v="0"/>
    <x v="1"/>
    <s v="02-09 Unidad Recursos Materiales y Servicios"/>
    <s v="RM0101"/>
    <s v="Ejecutar 90% PRESU TC 5048 RMS"/>
    <s v="RM0101"/>
    <s v="Ejecutar el 90% del Plan de Trabajo de la Unidad de Recursos Materiales y Servicios"/>
    <s v="Pintura de paredes externas del edificio aproximadamente 3570 mts 2 por un monto de ¢20.000.000, mantenimiento de la alarma contra incendios por un monto de ¢1.000.000,  limpieza de  dos cajas de registro de aguas grises y aguas negras por un monto de ¢60.000 y imprevistos que surgan en el proximo año por un monto de ¢1.000.000,00. _x000a_Reparación del techo del parqueo "/>
  </r>
  <r>
    <x v="1"/>
    <s v="1.08 MANTENIMIENTO Y REPARACIÓN"/>
    <s v="1.08.05 Mantenimiento y reparación de equipo de transporte"/>
    <n v="0"/>
    <m/>
    <m/>
    <m/>
    <n v="1200000"/>
    <m/>
    <m/>
    <m/>
    <n v="1200000"/>
    <n v="0"/>
    <n v="0"/>
    <n v="0"/>
    <n v="1200000"/>
    <x v="0"/>
    <x v="1"/>
    <m/>
    <s v="RM0101"/>
    <s v="Ejecutar 90% PRESU TC 5048 RMS"/>
    <s v="RM0101"/>
    <s v="Ejecutar el 90% del Plan de Trabajo de la Unidad de Recursos Materiales y Servicios"/>
    <s v="Reparación de equipo de transporte, unidades 238-25 y 238-26"/>
  </r>
  <r>
    <x v="1"/>
    <s v="1.08 MANTENIMIENTO Y REPARACIÓN"/>
    <s v="1.08.06 Mantenimiento y reparación de equipo de comunicación"/>
    <n v="734500"/>
    <m/>
    <m/>
    <m/>
    <m/>
    <n v="689300"/>
    <m/>
    <m/>
    <n v="1423800"/>
    <n v="0"/>
    <n v="807950"/>
    <n v="615850"/>
    <n v="0"/>
    <x v="0"/>
    <x v="1"/>
    <s v="02-10- Unidad de Tecnologías de Información y Comunicación"/>
    <s v="TC0101"/>
    <s v="Ejecutar 90% PRESU TC 5048 TIC"/>
    <s v="TC0101"/>
    <s v="Ejecutar el 90% del Plan de Trabajo de la Unidad de TIC"/>
    <s v="Para cubirir los contratos de mantenimiento para la central telefónica (12 visitas anuales) y el las cámaras de vigilancia (CCTV) (cuatro visitas anuales)"/>
  </r>
  <r>
    <x v="1"/>
    <s v="1.08 MANTENIMIENTO Y REPARACIÓN"/>
    <s v="1.08.07 Mantenimiento y reparación de equipo y mobiliario de oficina"/>
    <n v="67800"/>
    <m/>
    <m/>
    <m/>
    <m/>
    <m/>
    <m/>
    <m/>
    <n v="67800"/>
    <n v="0"/>
    <n v="67800"/>
    <n v="0"/>
    <n v="0"/>
    <x v="0"/>
    <x v="1"/>
    <s v="02-10- Unidad de Tecnologías de Información y Comunicación"/>
    <s v="TC0101"/>
    <s v="Ejecutar 90% PRESU TC 5048 TIC"/>
    <s v="TC0101"/>
    <s v="Ejecutar el 90% del Plan de Trabajo de la Unidad de TIC"/>
    <s v="Para cubrir el contrato de mantenimiento de los aires acondicionados del cuarto de servidores (Una visita anual), según contrato para la tercer renovación Ver mantenimiento correctivo"/>
  </r>
  <r>
    <x v="1"/>
    <s v="1.08 MANTENIMIENTO Y REPARACIÓN"/>
    <s v="1.08.08 Mantenimiento y reparación de equipo de cómputo y sistemas"/>
    <n v="15603520"/>
    <m/>
    <m/>
    <m/>
    <m/>
    <n v="-713050"/>
    <m/>
    <m/>
    <n v="14890470"/>
    <n v="1310000"/>
    <n v="8899392.6799999997"/>
    <n v="1882219.83"/>
    <n v="2798857.49"/>
    <x v="0"/>
    <x v="1"/>
    <s v="02-10- Unidad de Tecnologías de Información y Comunicación"/>
    <s v="TC0101"/>
    <s v="Ejecutar 90% PRESU TC 5048 TIC"/>
    <s v="TC0101"/>
    <s v="Ejecutar el 90% del Plan de Trabajo de la Unidad de TIC"/>
    <s v="Cubrir contrato de mantenimiento de la UPS del cuarto de servidores una visita anual (170,000  + IVA)._x000a_Contrato de mantenimiento  anual de  Wizdom ($50*17*12*670+ IVA) y su actualización ¢4,300,000 + IVA._x000a_Mantenimiento preventivo para 15 computadoras de escritorio (25,000 C/U), 45 computadoras portátiles (20,000 C/U) , 3 impresoras de inyección (15,000 C/U), 1 escáner (20,000 C/U), 6 servidores (110,000 C/U), Mantenimiento correctivo para 4 impresoras multifuncionales (375,000 C/U) mas el IVA"/>
  </r>
  <r>
    <x v="1"/>
    <s v="1.09 IMPUESTOS"/>
    <s v="1.99.02 Intereses moratorios y multas"/>
    <n v="0"/>
    <n v="2330000"/>
    <m/>
    <m/>
    <m/>
    <m/>
    <m/>
    <m/>
    <n v="2330000"/>
    <n v="0"/>
    <n v="0"/>
    <n v="2327335"/>
    <n v="2665"/>
    <x v="0"/>
    <x v="1"/>
    <s v="02-08 Unidad Gestión del Desarrollo Humano"/>
    <s v="DH0101"/>
    <s v="Ejecutar 90% PRESU TC 5048 TIC"/>
    <s v="DH0101"/>
    <m/>
    <s v="Intereses moratorios CCSS factura adicional "/>
  </r>
  <r>
    <x v="1"/>
    <m/>
    <s v="1.09.99 Otros impuestos"/>
    <n v="625980"/>
    <m/>
    <m/>
    <m/>
    <m/>
    <m/>
    <m/>
    <m/>
    <n v="625980"/>
    <n v="625980"/>
    <n v="0"/>
    <n v="0"/>
    <n v="0"/>
    <x v="0"/>
    <x v="1"/>
    <s v="02-09 Unidad Recursos Materiales y Servicios"/>
    <s v="RM0101"/>
    <s v="Ejecutar 90% PRESU TC 5048 RMS"/>
    <s v="RM0101"/>
    <s v="Ejecutar el 90% del Plan de Trabajo de la Unidad de Recursos Materiales y Servicios"/>
    <s v="Pago del derecho de circulación de 5 vehículos"/>
  </r>
  <r>
    <x v="1"/>
    <s v="1.09 IMPUESTOS"/>
    <s v="1.09.99 Otros impuestos"/>
    <n v="25000"/>
    <m/>
    <m/>
    <m/>
    <m/>
    <m/>
    <m/>
    <m/>
    <n v="25000"/>
    <n v="0"/>
    <n v="0"/>
    <n v="0"/>
    <n v="25000"/>
    <x v="0"/>
    <x v="1"/>
    <s v="02-05 Asesoría Legal"/>
    <s v="AL0301"/>
    <s v="Ejecutar 90% PRESU TC 5048 AL"/>
    <s v="AL0101"/>
    <s v="Ejecutar el 90% del Plan de Trabajo de la Asesoría Legal."/>
    <s v="Este monto es destinado a la compra de timbres ficales, legales y de abogado para la presentación de escritos judiciales y administrativos, así como para obtención de copias de expedientes judicales y administrativos de indole legal."/>
  </r>
  <r>
    <x v="2"/>
    <s v="2 .01 PRODUCTOS QUÍMICOS Y CONEXOS"/>
    <s v="2.01.01 Combustibles y lubricantes"/>
    <n v="350000"/>
    <m/>
    <m/>
    <m/>
    <m/>
    <m/>
    <m/>
    <m/>
    <n v="350000"/>
    <n v="272543"/>
    <n v="0"/>
    <n v="77456.7"/>
    <n v="0.30000000000291038"/>
    <x v="0"/>
    <x v="1"/>
    <s v="02-09 Unidad Recursos Materiales y Servicios"/>
    <s v="RM0101"/>
    <s v="Ejecutar 90% PRESU TC 5048 RMS"/>
    <s v="RM0101"/>
    <s v="Ejecutar el 90% del Plan de Trabajo de la Unidad de Recursos Materiales y Servicios"/>
    <s v="Pago de tarjeta de gastos de combustible de los vehículos para asuntos  de servicios que brinda la unidad y planta eléctrica del CONICIT"/>
  </r>
  <r>
    <x v="2"/>
    <s v="2 .01 PRODUCTOS QUÍMICOS Y CONEXOS"/>
    <s v="2.01.04 Tintas, pinturas y diluyentes"/>
    <n v="150000"/>
    <m/>
    <m/>
    <m/>
    <m/>
    <m/>
    <m/>
    <m/>
    <n v="150000"/>
    <n v="0"/>
    <n v="0"/>
    <n v="0"/>
    <n v="150000"/>
    <x v="0"/>
    <x v="1"/>
    <s v="02-09 Unidad Recursos Materiales y Servicios"/>
    <s v="RM0101"/>
    <s v="Ejecutar 90% PRESU TC 5048 RMS"/>
    <s v="RM0101"/>
    <s v="Ejecutar el 90% del Plan de Trabajo de la Unidad de Recursos Materiales y Servicios"/>
    <s v="Compra de  Toners para impresoras multifuncionales ubicadas en los diferentes pisos del CONICIT  asi como carturchos de tintas para impresoras Canon Maxify y Canon Pixma ubicadas en TICS y oficina de actas, costo estimado de acuerdo a la ultima cotizaciones recibidas para la contratacion para la compra 2020."/>
  </r>
  <r>
    <x v="2"/>
    <s v="2.03 MATERIALES Y PRODUCTOS DE USO EN LA CONSTRUCCIÓN Y_x000a_MANTENIMIENTO"/>
    <s v="2.03.04 Materiales y productos eléctricos, telefónicos y de cómputo"/>
    <n v="615000"/>
    <m/>
    <m/>
    <m/>
    <m/>
    <m/>
    <m/>
    <m/>
    <n v="615000"/>
    <n v="0"/>
    <n v="0"/>
    <n v="0"/>
    <n v="615000"/>
    <x v="0"/>
    <x v="1"/>
    <s v="02-10- Unidad de Tecnologías de Información y Comunicación"/>
    <s v="TC0101"/>
    <s v="Ejecutar 90% PRESU TC 5048 TIC"/>
    <s v="TC0101"/>
    <s v="Ejecutar el 90% del Plan de Trabajo de la Unidad de TIC"/>
    <s v="5  dispositivo de Firma Digital 30,000 c/u, 80 cables de red (Patch cord) cat 6 para conexión de switches y red local 3,000 c-u,  1 Kt de herramientas de instalación de red Red RJ45 (Incluya Tester de cables, ponchadora, perforadora)"/>
  </r>
  <r>
    <x v="2"/>
    <s v="2.04 HERRAMIENTAS, REPUESTOS Y ACCESORIOS"/>
    <s v="2.04.02 Repuestos y accesorios"/>
    <n v="200000"/>
    <m/>
    <m/>
    <m/>
    <n v="225000"/>
    <m/>
    <m/>
    <m/>
    <n v="425000"/>
    <n v="0"/>
    <n v="0"/>
    <n v="0"/>
    <n v="425000"/>
    <x v="0"/>
    <x v="1"/>
    <s v="02-09 Unidad Recursos Materiales y Servicios"/>
    <s v="RM0101"/>
    <s v="Ejecutar 90% PRESU TC 5048 RMS"/>
    <s v="RM0101"/>
    <s v="Ejecutar el 90% del Plan de Trabajo de la Unidad de Recursos Materiales y Servicios"/>
    <s v="Compra de al menos 8 llantas de respuesto para los vehiculos del CONICIT. Compra 3 baterías para los vehículos placas 238-5, 238-6 y 238-7"/>
  </r>
  <r>
    <x v="2"/>
    <s v="2.99 ÚTILES, MATERIALES Y SUMINISTROS DIVERSOS"/>
    <s v="2.99.01 Útiles y materiales de oficina y cómputo"/>
    <n v="37500"/>
    <m/>
    <m/>
    <m/>
    <m/>
    <m/>
    <m/>
    <m/>
    <n v="37500"/>
    <n v="0"/>
    <n v="0"/>
    <n v="0"/>
    <n v="37500"/>
    <x v="0"/>
    <x v="1"/>
    <s v="02-09 Unidad Recursos Materiales y Servicios"/>
    <s v="RM0101"/>
    <s v="Ejecutar 90% PRESU TC 5048 RMS"/>
    <s v="RM0101"/>
    <s v="Ejecutar el 90% del Plan de Trabajo de la Unidad de Recursos Materiales y Servicios"/>
    <s v="Compra de suministros de oficina "/>
  </r>
  <r>
    <x v="2"/>
    <s v="2.99 ÚTILES, MATERIALES Y SUMINISTROS DIVERSOS"/>
    <s v="2.99.02 Útiles y materiales médico, hospitalario y de investigación"/>
    <n v="100000"/>
    <m/>
    <m/>
    <m/>
    <m/>
    <m/>
    <m/>
    <m/>
    <n v="100000"/>
    <n v="0"/>
    <n v="0"/>
    <n v="0"/>
    <n v="100000"/>
    <x v="0"/>
    <x v="1"/>
    <s v="02-08 Unidad Gestión del Desarrollo Humano"/>
    <s v="DH0101"/>
    <s v="Ejecutar 90% PRESU TC 5048 DH"/>
    <s v="DH0101"/>
    <s v="Ejecutar 90% del Plan de Trabajo de Gestión del Desarrollo Humano"/>
    <s v="Para la compra de Solución Alcohólica Antiséptica para Higiene de Manos que vende la FANAL."/>
  </r>
  <r>
    <x v="2"/>
    <s v="2.99 ÚTILES, MATERIALES Y SUMINISTROS DIVERSOS"/>
    <s v="2.99.03 Productos de papel, cartón e impresos"/>
    <n v="67500"/>
    <m/>
    <m/>
    <m/>
    <m/>
    <m/>
    <m/>
    <m/>
    <n v="67500"/>
    <n v="0"/>
    <n v="0"/>
    <n v="0"/>
    <n v="67500"/>
    <x v="0"/>
    <x v="1"/>
    <s v="02-09 Unidad Recursos Materiales y Servicios"/>
    <s v="RM0101"/>
    <s v="Ejecutar 90% PRESU TC 5048 RMS"/>
    <s v="RM0101"/>
    <s v="Ejecutar el 90% del Plan de Trabajo de la Unidad de Recursos Materiales y Servicios"/>
    <s v="Compra de suministros de papel papel bond oficio para el uso diario de las actividades de las oficinas del CONICIT._x000a_Compra de cajas de cartón para el archivo de expedientes"/>
  </r>
  <r>
    <x v="3"/>
    <s v="5.01 MAQUINARIA, EQUIPO Y MOBILIARIO"/>
    <s v="5.01.03 Equipo de comunicación"/>
    <n v="600000"/>
    <m/>
    <m/>
    <m/>
    <m/>
    <m/>
    <m/>
    <m/>
    <n v="600000"/>
    <n v="0"/>
    <n v="0"/>
    <n v="0"/>
    <n v="600000"/>
    <x v="1"/>
    <x v="0"/>
    <s v="02-02 Secretaría Ejecutiva"/>
    <s v="SE0103"/>
    <s v="Ejecutar 90% del PRESU-3% PROPYME SE"/>
    <s v="SE0101"/>
    <s v="Ejecutar el 90% del Plan de Trabajo de la Secretaría Ejecutiva."/>
    <s v="De acuerdo con la Ley de Promoción del Desarrollo Científico Tecnológico Ley 7169, Capítulo IV, artículo 23 y artículo 24, se requiere la compra del siguiente equipo: tres Micrófonos, grabadores digitales (mezcladora de sonidos), auriculares (audífonos), software de grabación y edición. Este equipo será utilizado para la producción de programas radiofónicos y podcast vía internet que se puedan archivar en apps como &quot;Spotify&quot;. Lo anterior para divulgación y promoción de resultados y de proyectos de beneficarios del Fondo Propyme  que beneficien a los sectores productivos del país._x000a_Las producciones que se realicen con este equipo permitirán a la institución actuar como un puente entre la información tecnológica generada en los centros  de investigación público o privados y el público no especializado. La simplificación del lenguaje tecnológico  y su divulgación es esencial para la educación del ciudadano, para el alcance de gobernantes y tomadores de decisiones de modo que se promuevan más acciones direccionadas a una sociedad más educada, innovadora y económica y ambientalmente sostenible. Además, en la nueva normalidad que nos envuelve a causa de la Pandemia Covid- 19 los medios virtuales que permitan llegar al ciudadano de forma eficiente no presencial se hacen cada vez más necesarios._x000a_"/>
  </r>
  <r>
    <x v="3"/>
    <s v="5.01 MAQUINARIA, EQUIPO Y MOBILIARIO"/>
    <s v="5.01.04 Equipo y mobiliario de oficina"/>
    <n v="0"/>
    <m/>
    <m/>
    <m/>
    <n v="180000"/>
    <m/>
    <m/>
    <m/>
    <n v="180000"/>
    <n v="0"/>
    <n v="0"/>
    <n v="0"/>
    <n v="180000"/>
    <x v="0"/>
    <x v="1"/>
    <m/>
    <s v="RM0101"/>
    <s v="Ejecutar 90% PRESU TC 5048 RMS"/>
    <s v="RM0101"/>
    <m/>
    <s v="Compra trituradora de papel"/>
  </r>
  <r>
    <x v="3"/>
    <s v="5.99 BIENES DURADEROS DIVERSOS"/>
    <s v="5.99.03 Bienes intangibles"/>
    <m/>
    <m/>
    <m/>
    <m/>
    <m/>
    <m/>
    <n v="3096301.35"/>
    <m/>
    <n v="3096301.35"/>
    <m/>
    <m/>
    <m/>
    <n v="3096301.35"/>
    <x v="1"/>
    <x v="1"/>
    <s v="02-10- Unidad de Tecnologías de Información y Comunicación"/>
    <s v="TC0104"/>
    <m/>
    <s v="TC0101"/>
    <m/>
    <s v="Página Web"/>
  </r>
  <r>
    <x v="3"/>
    <s v="5.99 BIENES DURADEROS DIVERSOS"/>
    <s v="5.99.03 Bienes intangibles"/>
    <m/>
    <m/>
    <m/>
    <m/>
    <m/>
    <m/>
    <n v="3815320.57"/>
    <m/>
    <n v="3815320.57"/>
    <n v="0"/>
    <n v="0"/>
    <n v="0"/>
    <n v="3815320.57"/>
    <x v="2"/>
    <x v="1"/>
    <s v="02-10- Unidad de Tecnologías de Información y Comunicación"/>
    <s v="TC0105"/>
    <m/>
    <s v="TC0101"/>
    <m/>
    <s v="Página Web"/>
  </r>
  <r>
    <x v="3"/>
    <s v="5.99 BIENES DURADEROS DIVERSOS"/>
    <s v="5.99.03 Bienes intangibles"/>
    <m/>
    <m/>
    <m/>
    <m/>
    <m/>
    <m/>
    <n v="3063249.26"/>
    <m/>
    <n v="3063249.26"/>
    <m/>
    <m/>
    <m/>
    <n v="3063249.26"/>
    <x v="3"/>
    <x v="1"/>
    <s v="02-10- Unidad de Tecnologías de Información y Comunicación"/>
    <s v="TC0106"/>
    <m/>
    <s v="TC0101"/>
    <m/>
    <s v="Página Web"/>
  </r>
  <r>
    <x v="3"/>
    <s v="5.99 BIENES DURADEROS DIVERSOS"/>
    <s v="5.99.03 Bienes intangibles"/>
    <n v="12875000"/>
    <m/>
    <n v="10439698.82"/>
    <m/>
    <m/>
    <m/>
    <m/>
    <m/>
    <n v="23314698.82"/>
    <n v="0"/>
    <n v="0"/>
    <n v="709187.28"/>
    <n v="22605511.539999999"/>
    <x v="0"/>
    <x v="1"/>
    <s v="02-10- Unidad de Tecnologías de Información y Comunicación"/>
    <s v="TC0101"/>
    <s v="Ejecutar 90% PRESU TC 5048 TIC"/>
    <s v="TC0101"/>
    <s v="Ejecutar el 90% del Plan de Trabajo de la Unidad de TIC"/>
    <s v="1- Renovacion de licencia de Zextras anual ($1,100), Renovacion de licencias de antivirus y seguridad perimetral de Panda ($5,000), renovacion de 12 licencias de Adobe Acrobat ($1,900), una licencia de Adobe Illustrator ($350), 2 licencias de Adobe Photo Shop ($700), a todo este rubro se le suma el IVA._x000a_2- Adquisicion y mantenimiento mensual de licencias de ZIMBRA Network Edition para 100 buzones, licenciamiento perpetuo (un solo pago de $1600 + IVA) y servicio mensual de soporte y mantenimiento con 3 visitas preventivas anuales ($75 x mes + IVA)._x000a_3- Compra de 50 licencias de herramientas de trabajo virtual  para el uso de teletrabajo, TEAMS EMRESARIAL ESSENTIAL con ONE DRIVE 1TB_x000a_4- 350 HORAS PROFESIONALES PARA AJUSTES EN EL SISTEMA WIZDOM NICSP, Planilla Ley 9635, cambios en la evaluación del desempeño por la nueva normativa, ajustes en reportes y boletas"/>
  </r>
  <r>
    <x v="3"/>
    <s v="5.99 BIENES DURADEROS DIVERSOS"/>
    <s v="5.99.03 Bienes intangibles"/>
    <n v="10439698.82"/>
    <m/>
    <n v="-10439698.82"/>
    <m/>
    <m/>
    <m/>
    <m/>
    <m/>
    <n v="0"/>
    <m/>
    <m/>
    <n v="0"/>
    <n v="0"/>
    <x v="0"/>
    <x v="1"/>
    <m/>
    <s v="DSA0101"/>
    <s v="Ejecutar 90% PRESU TC 5048 DSA"/>
    <s v="SA0101"/>
    <s v="Ejecutar el 90% del Plan de Trabajo de la DSA"/>
    <s v="350 HORAS PROFESIONALES PARA AJUSTES EN EL SISTEMA WIZDOM NICSP, Planilla Ley 9635, cambios en la evaluación del desempeño por la nueva normativa, ajustes en reportes y boletas"/>
  </r>
  <r>
    <x v="4"/>
    <s v="6.01 TRANSFERENCIAS CORRIENTES AL SECTOR PÚBLICO"/>
    <s v="6.01.01 Transferencias corrientes al Gobierno Central"/>
    <m/>
    <m/>
    <m/>
    <m/>
    <m/>
    <m/>
    <n v="5530161.1299999999"/>
    <m/>
    <n v="5530161.1299999999"/>
    <n v="0"/>
    <n v="0"/>
    <n v="5530161.1299999999"/>
    <n v="0"/>
    <x v="2"/>
    <x v="1"/>
    <s v="02-07 Unidad de Finanzas"/>
    <s v="FI0102"/>
    <m/>
    <s v="FI0101"/>
    <m/>
    <s v="TC al MH por superávit libre 2020"/>
  </r>
  <r>
    <x v="4"/>
    <s v="6.01 TRANSFERENCIAS CORRIENTES AL SECTOR PÚBLICO"/>
    <s v="6.01.02 Transferencias corrientes a Órganos Desconcentrados"/>
    <n v="1892460.24"/>
    <m/>
    <m/>
    <m/>
    <n v="-1726551.94"/>
    <m/>
    <m/>
    <m/>
    <n v="165908.30000000005"/>
    <n v="0"/>
    <n v="0"/>
    <n v="165908.29999999999"/>
    <n v="0"/>
    <x v="0"/>
    <x v="1"/>
    <s v="02-07 Unidad de Finanzas"/>
    <s v="FI0103"/>
    <s v="Ejecutar 90% PRESU TC 5048 FI"/>
    <s v="FI0101"/>
    <s v="Ejecutar el 90% del Plan de Trabajo de la Unidad de Finanzas"/>
    <s v="Tributo: Comisión Nacional de Prevención de Riesgos y Atención de Emergencias (CNE). En cumplimiento a lo establecido en el Artículo 46 de la Ley 8488 correspondiente al pago del 3% del superávit libre como resultado de la liquidación presupuestaria del año anterior. Se estimo con el promedio de los años 2018-2019-2020."/>
  </r>
  <r>
    <x v="4"/>
    <s v="6.01 TRANSFERENCIAS CORRIENTES AL SECTOR PÚBLICO"/>
    <s v="6.01.03 Transferencias corrientes a Instituciones Descentralizadas no"/>
    <n v="317258004.00999999"/>
    <m/>
    <m/>
    <m/>
    <n v="25000000"/>
    <m/>
    <n v="-81098367.010000005"/>
    <m/>
    <n v="261159637"/>
    <n v="0"/>
    <n v="0"/>
    <n v="261159637"/>
    <n v="0"/>
    <x v="4"/>
    <x v="0"/>
    <s v="01-06 Unidad Gestión del Financiamiento"/>
    <s v="GF0302"/>
    <s v="Ejecutar 90% PRESU TC 7169 GF"/>
    <s v="GF0101"/>
    <s v="Ejecutar el 90% del Plan de Trabajo de Gestión del Financiamiento."/>
    <s v="Compromisos y reservas Fondo de Incentivos según convocatorias del MICITT"/>
  </r>
  <r>
    <x v="4"/>
    <s v="6.01 TRANSFERENCIAS CORRIENTES AL SECTOR PÚBLICO"/>
    <s v="6.01.03 Transferencias corrientes a Instituciones Descentralizadas no"/>
    <m/>
    <m/>
    <m/>
    <m/>
    <m/>
    <m/>
    <n v="81098367.010000005"/>
    <m/>
    <n v="81098367.010000005"/>
    <n v="30092907"/>
    <n v="22107109"/>
    <n v="6220871"/>
    <n v="22677480.010000005"/>
    <x v="5"/>
    <x v="0"/>
    <s v="01-06 Unidad Gestión del Financiamiento"/>
    <s v="GF0306"/>
    <m/>
    <s v="GF0101"/>
    <m/>
    <s v="Sustitución de FF"/>
  </r>
  <r>
    <x v="4"/>
    <s v="6.01 TRANSFERENCIAS CORRIENTES AL SECTOR PÚBLICO"/>
    <s v="6.01.03 Transferencias corrientes a Instituciones Descentralizadas no"/>
    <n v="50000000"/>
    <m/>
    <m/>
    <m/>
    <m/>
    <m/>
    <n v="-50000000"/>
    <m/>
    <n v="0"/>
    <n v="0"/>
    <n v="0"/>
    <n v="0"/>
    <n v="0"/>
    <x v="6"/>
    <x v="0"/>
    <s v="01-06 Unidad Gestión del Financiamiento"/>
    <s v="GF0103"/>
    <s v="Ejecutar 90% PRESU TC 9028 GF"/>
    <s v="GF0101"/>
    <s v="Ejecutar el 90% del Plan de Trabajo de Gestión del Financiamiento."/>
    <s v="Compromisos y reservas Fondo de Incentivos según convocatorias del MS. Se hace  Sustitución de FF En Wizdom solo se rebajo el disponible de ¢35.124.136 sin ejecutar, lo otro queda en la meta de TC aunque se pagó con superávit"/>
  </r>
  <r>
    <x v="4"/>
    <s v="6.01 TRANSFERENCIAS CORRIENTES AL SECTOR PÚBLICO"/>
    <s v="6.01.03 Transferencias corrientes a Instituciones Descentralizadas no"/>
    <m/>
    <m/>
    <m/>
    <m/>
    <m/>
    <m/>
    <n v="50867820"/>
    <m/>
    <n v="50867820"/>
    <n v="0"/>
    <n v="35991956"/>
    <n v="14875864"/>
    <n v="0"/>
    <x v="7"/>
    <x v="0"/>
    <s v="01-06 Unidad Gestión del Financiamiento"/>
    <s v="GF0305"/>
    <m/>
    <s v="GF0101"/>
    <m/>
    <s v="Sustitución de FF. En Wizdom solo se aumento  ¢35.991.956 lo otro queda en la meta de TC aunque se pagó con superávit"/>
  </r>
  <r>
    <x v="4"/>
    <s v="6.01 TRANSFERENCIAS CORRIENTES AL SECTOR PÚBLICO"/>
    <s v="6.01.08 Fondos en fideicomiso para gasto corriente"/>
    <n v="97937257.010000005"/>
    <m/>
    <m/>
    <m/>
    <m/>
    <m/>
    <m/>
    <m/>
    <n v="97937257.010000005"/>
    <m/>
    <m/>
    <n v="48968628.579999998"/>
    <n v="48968628.430000007"/>
    <x v="8"/>
    <x v="0"/>
    <s v="01-06 Unidad Gestión del Financiamiento"/>
    <s v="GF0101"/>
    <s v="Ejecutar 90% PRESU TC 8262 GF"/>
    <s v="GF0101"/>
    <s v="Ejecutar el 90% del Plan de Trabajo de Gestión del Financiamiento."/>
    <s v="Compromisos y reservas Fondo de Incentivos según convocatorias del MICITT"/>
  </r>
  <r>
    <x v="4"/>
    <s v="6.02 TRANSFERENCIAS CORRIENTES A PERSONAS"/>
    <s v="6.02.02 Becas a terceras personas"/>
    <n v="48151809"/>
    <m/>
    <m/>
    <m/>
    <n v="-25000000"/>
    <m/>
    <n v="-21708247"/>
    <m/>
    <n v="1443562"/>
    <n v="0"/>
    <n v="0"/>
    <n v="0"/>
    <n v="1443562"/>
    <x v="4"/>
    <x v="0"/>
    <s v="01-06 Unidad Gestión del Financiamiento"/>
    <s v="GF0302"/>
    <s v="Ejecutar 90% PRESU TC 7169 GF"/>
    <s v="GF0101"/>
    <s v="Ejecutar el 90% del Plan de Trabajo de Gestión del Financiamiento."/>
    <s v="Compromisos y reservas Fondo de Incentivos según convocatorias del MICITT"/>
  </r>
  <r>
    <x v="4"/>
    <s v="6.02 TRANSFERENCIAS CORRIENTES A PERSONAS"/>
    <s v="6.02.02 Becas a terceras personas"/>
    <m/>
    <m/>
    <m/>
    <m/>
    <m/>
    <m/>
    <n v="6850427"/>
    <m/>
    <n v="6850427"/>
    <n v="0"/>
    <n v="2812240"/>
    <n v="0"/>
    <n v="4038187"/>
    <x v="5"/>
    <x v="0"/>
    <s v="01-06 Unidad Gestión del Financiamiento"/>
    <s v="GF0306"/>
    <m/>
    <s v="GF0101"/>
    <m/>
    <s v="Sustitución de FF"/>
  </r>
  <r>
    <x v="4"/>
    <s v="6.02 TRANSFERENCIAS CORRIENTES A PERSONAS"/>
    <s v="6.02.99 Otras transferencias a personas"/>
    <m/>
    <m/>
    <m/>
    <m/>
    <m/>
    <m/>
    <n v="13990000"/>
    <m/>
    <n v="13990000"/>
    <n v="0"/>
    <n v="0"/>
    <n v="0"/>
    <n v="13990000"/>
    <x v="5"/>
    <x v="0"/>
    <s v="01-05 Unidad de Vinculación y Asesoría"/>
    <s v="VA0106"/>
    <m/>
    <s v="VA0101"/>
    <m/>
    <s v="Sustitución de FF Premio Nacional en CyT"/>
  </r>
  <r>
    <x v="4"/>
    <s v="6.03 PRESTACIONES"/>
    <s v="6.03.01 Prestaciones legales"/>
    <n v="250000"/>
    <m/>
    <m/>
    <m/>
    <n v="250000"/>
    <m/>
    <m/>
    <m/>
    <n v="500000"/>
    <m/>
    <m/>
    <n v="0"/>
    <n v="500000"/>
    <x v="0"/>
    <x v="0"/>
    <s v="01-02 Dirección de Promoción de Ciencia, Tecnología e Innovación"/>
    <s v="DP0101"/>
    <s v="Ejecutar 90% PRESU-planilla TC-5048 DP"/>
    <s v="DP0101"/>
    <s v="Ejecutar 90% de la planilla de la Dirección de Promoción"/>
    <s v="Se le solicitó a los colaboradores vía correo electrónico que indicaran su intención de jubilarse en el año 2021.  Las personas que respondieron, indicaron que previo a jubilarse disfrutarían las vacaciones acumuladas, por lo que por este concepto no habría que hacer erogación alguna.  Con respecto a la cesantía, romperían el tope y la Asociación Solidarista estaría cubriendo ese rubro.  Se prevee un monto de ¢250.000,00 por alguna diferencia salarial o cesgo.  Programa 1"/>
  </r>
  <r>
    <x v="4"/>
    <s v="6.03 PRESTACIONES"/>
    <s v="6.03.01 Prestaciones legales"/>
    <n v="250000"/>
    <m/>
    <m/>
    <m/>
    <n v="250000"/>
    <m/>
    <m/>
    <m/>
    <n v="500000"/>
    <m/>
    <m/>
    <n v="0"/>
    <n v="500000"/>
    <x v="0"/>
    <x v="1"/>
    <s v="02-06 Dirección de Soporte Administrativo"/>
    <s v="DSA0101"/>
    <s v="Ejecutar 90% PRESU-planilla TC-5048 DSA"/>
    <s v="SA0101"/>
    <s v="Ejecutar 90% de la planilla de Gestion Administrativa"/>
    <s v="Se le solicitó a los colaboradores vía correo electrónico que indicaran su intención de jubilarse en el año 2021.  Las personas que respondieron, indicaron que previo a jubilarse disfrutarían las vacaciones acumuladas, por lo que por este concepto no habría que hacer erogación alguna.  Con respecto a la cesantía, romperían el tope y la Asociación Solidarista estaría cubriendo ese rubro.  Se prevee un monto de ¢250.000,00 por alguna diferencia salarial o cesgo.  Programa 2"/>
  </r>
  <r>
    <x v="4"/>
    <s v="6.03 PRESTACIONES"/>
    <s v="6.03.99 Otras prestaciones"/>
    <n v="4000000"/>
    <m/>
    <m/>
    <m/>
    <m/>
    <m/>
    <m/>
    <m/>
    <n v="4000000"/>
    <m/>
    <m/>
    <n v="235131.4"/>
    <n v="3764868.6"/>
    <x v="0"/>
    <x v="0"/>
    <s v="01-02 Dirección de Promoción de Ciencia, Tecnología e Innovación"/>
    <s v="DP0101"/>
    <s v="Ejecutar 90% PRESU-planilla TC-5048 DP"/>
    <s v="DP0101"/>
    <s v="Ejecutar 90% de la planilla de la Dirección de Promoción"/>
    <s v="Corresponde al pago de subsidio por incapacidades del INS o de la CCSS.  Programa 1"/>
  </r>
  <r>
    <x v="4"/>
    <s v="6.03 PRESTACIONES"/>
    <s v="6.03.99 Otras prestaciones"/>
    <n v="4000000"/>
    <m/>
    <m/>
    <m/>
    <m/>
    <m/>
    <m/>
    <m/>
    <n v="4000000"/>
    <m/>
    <m/>
    <n v="2826211.48"/>
    <n v="1173788.52"/>
    <x v="0"/>
    <x v="1"/>
    <s v="02-06 Dirección de Soporte Administrativo"/>
    <s v="DSA0101"/>
    <s v="Ejecutar 90% PRESU-planilla TC-5048 DSA"/>
    <s v="SA0101"/>
    <s v="Ejecutar 90% de la planilla de Gestion Administrativa"/>
    <s v="Corresponde al pago de subsidio por incapacidades del INS o de la CCSS.  Programa 2"/>
  </r>
  <r>
    <x v="4"/>
    <s v="6.04 TRANSFERENCIAS CORRIENTES A ENTIDADES PRIVADAS SIN FINES DE LUCRO"/>
    <s v="6.04.02 Transferencias corrientes a fundaciones"/>
    <n v="53774445"/>
    <m/>
    <m/>
    <m/>
    <m/>
    <m/>
    <n v="-53774445"/>
    <m/>
    <n v="0"/>
    <n v="0"/>
    <n v="0"/>
    <m/>
    <n v="0"/>
    <x v="4"/>
    <x v="0"/>
    <s v="01-06 Unidad Gestión del Financiamiento"/>
    <s v="GF0302"/>
    <s v="Ejecutar 90% PRESU TC 7169 GF"/>
    <s v="GF0101"/>
    <s v="Ejecutar el 90% del Plan de Trabajo de Gestión del Financiamiento."/>
    <s v="Compromisos y reservas Fondo de Incentivos según convocatorias del MICITT. Se hace sustitución de FF. En Wizdom sólo rebajo el disponible de ¢30.796.978 sin ejecutar, lo otro queda en la meta de TC aunque se pagó con superávit"/>
  </r>
  <r>
    <x v="4"/>
    <s v="6.04 TRANSFERENCIAS CORRIENTES A ENTIDADES PRIVADAS SIN FINES DE LUCRO"/>
    <s v="6.04.02 Transferencias corrientes a fundaciones"/>
    <m/>
    <m/>
    <m/>
    <m/>
    <m/>
    <m/>
    <n v="53774445"/>
    <m/>
    <n v="53774445"/>
    <n v="1801523"/>
    <m/>
    <n v="22977467"/>
    <n v="28995455"/>
    <x v="5"/>
    <x v="0"/>
    <s v="01-06 Unidad Gestión del Financiamiento"/>
    <s v="GF0306"/>
    <m/>
    <s v="GF0101"/>
    <m/>
    <s v="Sustitución de FF. En Wizdom solo se rebajo el disponible de ¢30.796.978 sin ejecutar, lo otro queda en la meta de TC  aunque se pagó con superávit"/>
  </r>
  <r>
    <x v="4"/>
    <s v="6.05 TRANSFERENCIAS CORRIENTES A EMPRESAS PRIVADAS"/>
    <s v="6.05.01 Transferencias corrientes a empresas privadas"/>
    <n v="11187581"/>
    <m/>
    <m/>
    <m/>
    <m/>
    <m/>
    <n v="-11187581"/>
    <m/>
    <n v="0"/>
    <n v="0"/>
    <n v="0"/>
    <m/>
    <n v="0"/>
    <x v="4"/>
    <x v="0"/>
    <s v="01-06 Unidad Gestión del Financiamiento"/>
    <s v="GF0302"/>
    <s v="Ejecutar 90% PRESU TC 7169 GF"/>
    <s v="GF0101"/>
    <s v="Ejecutar el 90% del Plan de Trabajo de Gestión del Financiamiento."/>
    <s v="Compromisos y reservas Fondo de Incentivos según convocatorias del MICITT"/>
  </r>
  <r>
    <x v="4"/>
    <s v="6.05 TRANSFERENCIAS CORRIENTES A EMPRESAS PRIVADAS"/>
    <s v="6.05.01 Transferencias corrientes a empresas privadas"/>
    <m/>
    <m/>
    <m/>
    <m/>
    <m/>
    <m/>
    <n v="11187581"/>
    <m/>
    <n v="11187581"/>
    <m/>
    <n v="11187581"/>
    <m/>
    <n v="0"/>
    <x v="5"/>
    <x v="0"/>
    <s v="01-06 Unidad Gestión del Financiamiento"/>
    <s v="GF0306"/>
    <m/>
    <s v="GF0101"/>
    <m/>
    <s v="Sustitución de FF"/>
  </r>
  <r>
    <x v="4"/>
    <s v="6.06 OTRAS TRANSFERENCIAS CORRIENTES AL SECTOR PRIVADO"/>
    <s v="6.06.01 Indemnizaciones"/>
    <n v="2500000"/>
    <m/>
    <m/>
    <m/>
    <m/>
    <m/>
    <m/>
    <m/>
    <n v="2500000"/>
    <n v="0"/>
    <n v="0"/>
    <n v="0"/>
    <n v="2500000"/>
    <x v="0"/>
    <x v="1"/>
    <s v="02-05 Asesoría Legal"/>
    <s v="AL0301"/>
    <s v="Ejecutar 90% PRESU TC 5048 AL"/>
    <s v="AL0101"/>
    <s v="Ejecutar el 90% del Plan de Trabajo de la Asesoría Legal."/>
    <s v="Monto previsto para contingencias ante denuncias, contrademandas, etc"/>
  </r>
  <r>
    <x v="4"/>
    <s v="6.07 TRANSFERENCIAS CORRIENTES AL SECTOR EXTERNO"/>
    <s v="6.07.01 Transferencias corrientes a organismos internacionales"/>
    <n v="5733333.3300000001"/>
    <m/>
    <m/>
    <m/>
    <n v="4067000"/>
    <m/>
    <m/>
    <m/>
    <n v="9800333.3300000001"/>
    <n v="0"/>
    <n v="0"/>
    <n v="9800000"/>
    <n v="333.33000000007451"/>
    <x v="0"/>
    <x v="1"/>
    <s v="02-07 Unidad de Finanzas"/>
    <s v="FI0103"/>
    <s v="Ejecutar 90% PRESU TC 5048 FI"/>
    <s v="FI0101"/>
    <s v="Ejecutar el 90% del Plan de Trabajo de la Unidad de Finanzas"/>
    <s v="Pago de cuotas de Organismos Internacionales para el año 2021. Ministerio de Hacienda de conformidad con lo establecido en la Ley 3418 por concepto de cuotas de Organismos Internacionales para el año 2020. Se estimo con el promedio de los años monto cancelado para el período 2019. "/>
  </r>
  <r>
    <x v="4"/>
    <s v="6.07 TRANSFERENCIAS CORRIENTES AL SECTOR EXTERNO"/>
    <s v="6.07.01 Transferencias corrientes a organismos internacionales"/>
    <m/>
    <m/>
    <m/>
    <m/>
    <m/>
    <n v="187500"/>
    <m/>
    <m/>
    <n v="187500"/>
    <n v="187500"/>
    <n v="0"/>
    <m/>
    <n v="0"/>
    <x v="0"/>
    <x v="0"/>
    <s v="01-05 Unidad de Vinculación y Asesoría"/>
    <s v="VA0101"/>
    <s v="Ejecutar 90% PRESU TC 5048 VA"/>
    <s v="VA0101"/>
    <s v="Ejecutar el 90% del Plan de Trabajo de la Unidad de Vinculación y Asesoría"/>
    <s v="Pago membresía Interciencia"/>
  </r>
  <r>
    <x v="5"/>
    <s v="9.02 SUMAS SIN ASIGNACIÓN PRESUPUESTARIA"/>
    <s v="9.02.01 Sumas libres sin asignación presupuestaria"/>
    <n v="17715640.949999999"/>
    <m/>
    <m/>
    <m/>
    <n v="-16361000"/>
    <n v="-187500"/>
    <m/>
    <m/>
    <n v="1167140.9499999993"/>
    <m/>
    <n v="0"/>
    <n v="0"/>
    <n v="1167140.9499999993"/>
    <x v="0"/>
    <x v="0"/>
    <s v="01-02 Dirección de Promoción de Ciencia, Tecnología e Innovación"/>
    <s v="DP0101"/>
    <s v="Ejecutar 90% PRESU-planilla TC-5048 DP"/>
    <s v="DP0101"/>
    <s v="Ejecutar 90% de la planilla de la Dirección de Promoción"/>
    <s v="Por improbación de la CGR"/>
  </r>
  <r>
    <x v="5"/>
    <s v="9.02 SUMAS SIN ASIGNACIÓN PRESUPUESTARIA"/>
    <s v="9.02.01 Sumas libres sin asignación presupuestaria"/>
    <n v="20899230.359999999"/>
    <n v="-3380000"/>
    <m/>
    <m/>
    <n v="-8746448.0600000005"/>
    <m/>
    <m/>
    <m/>
    <n v="8772782.2999999989"/>
    <m/>
    <n v="0"/>
    <n v="0"/>
    <n v="8772782.2999999989"/>
    <x v="0"/>
    <x v="1"/>
    <s v="02-06 Dirección de Soporte Administrativo"/>
    <s v="DSA0101"/>
    <s v="Ejecutar 90% PRESU-planilla TC-5048 DSA"/>
    <s v="SA0101"/>
    <s v="Ejecutar 90% de la planilla de Gestion Administrativa"/>
    <s v="Por improbación de la CGR"/>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0669D2F-133C-4768-9FF4-316C60F87C5C}" name="TablaDinámica1" cacheId="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F37" firstHeaderRow="0" firstDataRow="1" firstDataCol="1"/>
  <pivotFields count="24">
    <pivotField axis="axisRow" showAll="0">
      <items count="7">
        <item x="0"/>
        <item x="1"/>
        <item x="2"/>
        <item x="3"/>
        <item x="4"/>
        <item x="5"/>
        <item t="default"/>
      </items>
    </pivotField>
    <pivotField showAll="0"/>
    <pivotField showAll="0"/>
    <pivotField showAll="0"/>
    <pivotField showAll="0"/>
    <pivotField showAll="0"/>
    <pivotField showAll="0"/>
    <pivotField showAll="0"/>
    <pivotField showAll="0"/>
    <pivotField showAll="0"/>
    <pivotField showAll="0"/>
    <pivotField dataField="1" numFmtId="168" showAll="0"/>
    <pivotField dataField="1" showAll="0"/>
    <pivotField dataField="1" showAll="0"/>
    <pivotField dataField="1" showAll="0"/>
    <pivotField dataField="1" numFmtId="168" showAll="0"/>
    <pivotField axis="axisRow" showAll="0">
      <items count="10">
        <item x="1"/>
        <item x="0"/>
        <item x="4"/>
        <item x="8"/>
        <item x="6"/>
        <item x="2"/>
        <item x="5"/>
        <item x="3"/>
        <item x="7"/>
        <item t="default"/>
      </items>
    </pivotField>
    <pivotField axis="axisRow" showAll="0">
      <items count="3">
        <item x="0"/>
        <item x="1"/>
        <item t="default"/>
      </items>
    </pivotField>
    <pivotField showAll="0"/>
    <pivotField showAll="0"/>
    <pivotField showAll="0"/>
    <pivotField showAll="0"/>
    <pivotField showAll="0"/>
    <pivotField showAll="0"/>
  </pivotFields>
  <rowFields count="3">
    <field x="17"/>
    <field x="16"/>
    <field x="0"/>
  </rowFields>
  <rowItems count="34">
    <i>
      <x/>
    </i>
    <i r="1">
      <x/>
    </i>
    <i r="2">
      <x v="3"/>
    </i>
    <i r="1">
      <x v="1"/>
    </i>
    <i r="2">
      <x/>
    </i>
    <i r="2">
      <x v="1"/>
    </i>
    <i r="2">
      <x v="4"/>
    </i>
    <i r="2">
      <x v="5"/>
    </i>
    <i r="1">
      <x v="2"/>
    </i>
    <i r="2">
      <x v="4"/>
    </i>
    <i r="1">
      <x v="3"/>
    </i>
    <i r="2">
      <x v="4"/>
    </i>
    <i r="1">
      <x v="4"/>
    </i>
    <i r="2">
      <x v="4"/>
    </i>
    <i r="1">
      <x v="6"/>
    </i>
    <i r="2">
      <x v="4"/>
    </i>
    <i r="1">
      <x v="8"/>
    </i>
    <i r="2">
      <x v="4"/>
    </i>
    <i>
      <x v="1"/>
    </i>
    <i r="1">
      <x/>
    </i>
    <i r="2">
      <x v="3"/>
    </i>
    <i r="1">
      <x v="1"/>
    </i>
    <i r="2">
      <x/>
    </i>
    <i r="2">
      <x v="1"/>
    </i>
    <i r="2">
      <x v="2"/>
    </i>
    <i r="2">
      <x v="3"/>
    </i>
    <i r="2">
      <x v="4"/>
    </i>
    <i r="2">
      <x v="5"/>
    </i>
    <i r="1">
      <x v="5"/>
    </i>
    <i r="2">
      <x v="3"/>
    </i>
    <i r="2">
      <x v="4"/>
    </i>
    <i r="1">
      <x v="7"/>
    </i>
    <i r="2">
      <x v="3"/>
    </i>
    <i t="grand">
      <x/>
    </i>
  </rowItems>
  <colFields count="1">
    <field x="-2"/>
  </colFields>
  <colItems count="5">
    <i>
      <x/>
    </i>
    <i i="1">
      <x v="1"/>
    </i>
    <i i="2">
      <x v="2"/>
    </i>
    <i i="3">
      <x v="3"/>
    </i>
    <i i="4">
      <x v="4"/>
    </i>
  </colItems>
  <dataFields count="5">
    <dataField name="Suma de Presupuesto total" fld="11" baseField="0" baseItem="0"/>
    <dataField name="Suma de Resevas" fld="12" baseField="0" baseItem="0"/>
    <dataField name="Suma de Compromisos " fld="13" baseField="0" baseItem="0"/>
    <dataField name="Suma de Ejecutado" fld="14" baseField="0" baseItem="0"/>
    <dataField name="Suma de Saldo disponible" fld="1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8CB2086-98D8-43F7-945E-B0BFA17DDFAD}" name="Tabla14" displayName="Tabla14" ref="B12:Y114" totalsRowCount="1" headerRowDxfId="79" dataDxfId="78" tableBorderDxfId="77">
  <autoFilter ref="B12:Y113" xr:uid="{00000000-0009-0000-0100-000003000000}"/>
  <sortState ref="B13:V109">
    <sortCondition ref="D12:D109"/>
  </sortState>
  <tableColumns count="24">
    <tableColumn id="7" xr3:uid="{A103C6D6-6411-4BCF-A71E-CAE916D2A445}" name="Partida" dataDxfId="76" totalsRowDxfId="75"/>
    <tableColumn id="22" xr3:uid="{DB514D14-10E0-47AF-9BA2-3FE8BF00EFE2}" name="Grupo" dataDxfId="74" totalsRowDxfId="73"/>
    <tableColumn id="8" xr3:uid="{018E2EBF-FCFB-4BA8-B673-D177AC04C04A}" name="Subpartida" dataDxfId="72" totalsRowDxfId="71"/>
    <tableColumn id="24" xr3:uid="{F8B6C316-3730-4271-B425-CCE35BAD59FB}" name="Escenario 5: Monto ajustado aprobado por la CGR" totalsRowFunction="sum" totalsRowDxfId="70"/>
    <tableColumn id="28" xr3:uid="{0EF27DCE-B3FD-4EE9-B0E3-828052063AA9}" name="Modificación 01-2021" totalsRowFunction="sum" dataDxfId="69" totalsRowDxfId="68"/>
    <tableColumn id="21" xr3:uid="{1EFD5A45-C07E-417D-BAF5-34CC4B0154AC}" name="MN01-2021" totalsRowFunction="sum" dataDxfId="67" totalsRowDxfId="66"/>
    <tableColumn id="33" xr3:uid="{66AC1894-DB04-4F0E-939C-B1F12BC1B345}" name="MN02-2022" totalsRowFunction="sum" dataDxfId="65" totalsRowDxfId="64"/>
    <tableColumn id="34" xr3:uid="{AD0512CC-70BD-447E-87CE-49CAB5ED3D5F}" name="Modificación 02-2021" totalsRowFunction="sum" dataDxfId="63" totalsRowDxfId="62"/>
    <tableColumn id="1" xr3:uid="{C6FCFBB5-96C0-4364-AAAB-AE3D0D672563}" name="Modificación 03-2021" totalsRowFunction="sum" dataDxfId="61" totalsRowDxfId="60"/>
    <tableColumn id="2" xr3:uid="{E40984CC-A987-4BFF-BC24-A4236AE45EA3}" name="PE-01-2021" totalsRowFunction="sum" dataDxfId="59" totalsRowDxfId="58"/>
    <tableColumn id="3" xr3:uid="{0B752B4C-9608-43F0-88EC-8BDF2BDB10D3}" name="MN03-20221" totalsRowFunction="sum" dataDxfId="57" totalsRowDxfId="56"/>
    <tableColumn id="29" xr3:uid="{1F7A8C0C-A02F-4247-BE8B-F4257F3C7628}" name="Presupuesto total" totalsRowFunction="sum" dataDxfId="55" totalsRowDxfId="54">
      <calculatedColumnFormula>+Tabla14[[#This Row],[Escenario 5: Monto ajustado aprobado por la CGR]]+Tabla14[[#This Row],[Modificación 01-2021]]+Tabla14[[#This Row],[MN01-2021]]+Tabla14[[#This Row],[MN02-2022]]+Tabla14[[#This Row],[Modificación 02-2021]]+Tabla14[[#This Row],[Modificación 03-2021]]+Tabla14[[#This Row],[PE-01-2021]]+Tabla14[[#This Row],[MN03-20221]]</calculatedColumnFormula>
    </tableColumn>
    <tableColumn id="30" xr3:uid="{57CF5026-1490-4ADB-8662-E27F3AD5EAEF}" name="Resevas" totalsRowFunction="sum" dataDxfId="53" totalsRowDxfId="52"/>
    <tableColumn id="25" xr3:uid="{53438449-18B7-4416-904C-F96ADB34271F}" name="Compromisos " totalsRowFunction="sum" dataDxfId="51" totalsRowDxfId="50"/>
    <tableColumn id="32" xr3:uid="{90F04202-9EBC-46C1-A965-4044FDC3BC72}" name="Ejecutado" totalsRowFunction="sum" dataDxfId="49" totalsRowDxfId="48"/>
    <tableColumn id="31" xr3:uid="{6DEFFDC1-2A5B-4797-A99D-7BC9CE7A2677}" name="Saldo disponible" totalsRowFunction="sum" dataDxfId="47" totalsRowDxfId="46">
      <calculatedColumnFormula>+Tabla14[[#This Row],[Presupuesto total]]-Tabla14[[#This Row],[Resevas]]-Tabla14[[#This Row],[Compromisos ]]-Tabla14[[#This Row],[Ejecutado]]</calculatedColumnFormula>
    </tableColumn>
    <tableColumn id="14" xr3:uid="{28232EB1-F718-4AF5-87EB-B67C5363AFF1}" name="Fuente de Ingresos" dataDxfId="45" totalsRowDxfId="44"/>
    <tableColumn id="15" xr3:uid="{B09309AB-1F62-4741-991C-15783794461A}" name="Programa presupuestario" totalsRowDxfId="43"/>
    <tableColumn id="19" xr3:uid="{5D77C5A2-7800-474E-85CA-3F00D147A12C}" name="Centro costos" dataDxfId="42" totalsRowDxfId="41"/>
    <tableColumn id="16" xr3:uid="{AFEF87F9-4980-4459-A739-CB1C3AB2225F}" name="Código Meta Sistema Administrativo" dataDxfId="40" totalsRowDxfId="39"/>
    <tableColumn id="17" xr3:uid="{419B2BFF-DB5C-4C70-ABCE-A73905B48640}" name="Nombre Meta Sistema Administrativo" dataDxfId="38" totalsRowDxfId="37"/>
    <tableColumn id="18" xr3:uid="{B98A0EE6-0BE9-4F0B-8464-907687801C57}" name="Código Meta Planificación" dataDxfId="36" totalsRowDxfId="35"/>
    <tableColumn id="26" xr3:uid="{5989CDF4-BD1E-445E-A142-2E7AEEBB80E9}" name="Meta Planificación final" totalsRowDxfId="34"/>
    <tableColumn id="20" xr3:uid="{8A4D3D25-6A6C-4D0B-BD5E-3FC617A9FF63}" name="Justificación detallada de la solicitud de presupuesto, en la medida de lo posible indique los parámetros utilizados para la estimación.2" dataDxfId="33"/>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A3C0BC7-36C8-4726-93E3-A1C77D895753}" name="Tabla1343644" displayName="Tabla1343644" ref="B5:H11" totalsRowCount="1" totalsRowDxfId="30" headerRowBorderDxfId="32" tableBorderDxfId="31" totalsRowBorderDxfId="29">
  <tableColumns count="7">
    <tableColumn id="14" xr3:uid="{D53AB9D3-3250-4848-8D4D-3EAEF62EFF16}" name="Estado de la ayuda" totalsRowDxfId="28" dataCellStyle="Millares"/>
    <tableColumn id="7" xr3:uid="{BA01AC95-A6D8-4173-B629-2A33D8134A82}" name="Código" dataDxfId="27" totalsRowDxfId="26"/>
    <tableColumn id="8" xr3:uid="{9E4C63E7-0189-422E-BDF3-57A47E1FB0F3}" name="Beneficiario" totalsRowLabel="TOTAL COMPROMISOS" dataDxfId="25" totalsRowDxfId="24"/>
    <tableColumn id="1" xr3:uid="{F97B21C8-645A-40CC-A23A-821D2E51E155}" name="Programa" dataDxfId="23" totalsRowDxfId="22" dataCellStyle="Millares"/>
    <tableColumn id="13" xr3:uid="{350C7C55-6D42-493C-81DE-7D8A2050FF89}" name="Nombre del proyecto" dataDxfId="21" totalsRowDxfId="20" dataCellStyle="Millares"/>
    <tableColumn id="9" xr3:uid="{A9625646-477C-4B53-9641-A4AF586FC923}" name="Saldo por girar con presupuesto 2021" totalsRowFunction="sum" dataDxfId="19" totalsRowDxfId="18" dataCellStyle="Millares"/>
    <tableColumn id="18" xr3:uid="{5B628D21-C3E3-4CCA-8761-B46848E5F847}" name="Observaciones" totalsRowDxfId="17" dataCellStyle="Millares"/>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F6DBF30-C8F9-4F8B-BF4C-A1D085D8EADF}" name="Tabla1343643" displayName="Tabla1343643" ref="B26:H28" totalsRowCount="1" totalsRowDxfId="14" headerRowBorderDxfId="16" tableBorderDxfId="15" totalsRowBorderDxfId="13">
  <tableColumns count="7">
    <tableColumn id="14" xr3:uid="{6DE7C319-97F8-44CC-80E8-872CFB697256}" name="Estado de la ayuda" totalsRowDxfId="12" dataCellStyle="Millares"/>
    <tableColumn id="7" xr3:uid="{E1AD25C0-ABF0-4054-9A62-4ABDA141428D}" name="Código" dataDxfId="11" totalsRowDxfId="10"/>
    <tableColumn id="8" xr3:uid="{FEB58DB4-5CC1-4647-8B83-030954BCEBE7}" name="Beneficiario" totalsRowLabel="TOTAL COMPROMISOS" dataDxfId="9" totalsRowDxfId="8"/>
    <tableColumn id="1" xr3:uid="{C9CEED0C-B61E-42CB-821C-C52FACDA7AD3}" name="Programa" dataDxfId="7" totalsRowDxfId="6" dataCellStyle="Millares"/>
    <tableColumn id="13" xr3:uid="{B85ED4B7-7D08-4EED-B9A9-C67E58AB9D60}" name="Nombre del proyecto" dataDxfId="5" totalsRowDxfId="4" dataCellStyle="Millares"/>
    <tableColumn id="9" xr3:uid="{02936937-AE52-43F9-A3DA-A2DD7486C247}" name="Saldo por girar con presupuesto 2021" totalsRowFunction="sum" dataDxfId="3" totalsRowDxfId="2" dataCellStyle="Millares"/>
    <tableColumn id="18" xr3:uid="{796290EF-66F0-4D95-89BE-3CC928E0F582}" name="Otros interéses" dataDxfId="1" totalsRowDxfId="0" dataCellStyle="Millares 2 8"/>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3F37A-9B62-41CF-8FBA-05555D94217B}">
  <dimension ref="A3:F37"/>
  <sheetViews>
    <sheetView workbookViewId="0">
      <selection activeCell="A26" sqref="A26:A27"/>
    </sheetView>
  </sheetViews>
  <sheetFormatPr baseColWidth="10" defaultRowHeight="15" x14ac:dyDescent="0.25"/>
  <cols>
    <col min="1" max="1" width="57.7109375" bestFit="1" customWidth="1"/>
    <col min="2" max="2" width="25" style="1" bestFit="1" customWidth="1"/>
    <col min="3" max="3" width="16.28515625" style="1" bestFit="1" customWidth="1"/>
    <col min="4" max="4" width="21.85546875" style="1" bestFit="1" customWidth="1"/>
    <col min="5" max="5" width="17.85546875" style="1" bestFit="1" customWidth="1"/>
    <col min="6" max="6" width="24" style="1" bestFit="1" customWidth="1"/>
  </cols>
  <sheetData>
    <row r="3" spans="1:6" x14ac:dyDescent="0.25">
      <c r="A3" s="450" t="s">
        <v>1091</v>
      </c>
      <c r="B3" s="1" t="s">
        <v>1092</v>
      </c>
      <c r="C3" s="1" t="s">
        <v>1093</v>
      </c>
      <c r="D3" s="1" t="s">
        <v>1094</v>
      </c>
      <c r="E3" s="1" t="s">
        <v>1095</v>
      </c>
      <c r="F3" s="1" t="s">
        <v>1096</v>
      </c>
    </row>
    <row r="4" spans="1:6" x14ac:dyDescent="0.25">
      <c r="A4" s="451" t="s">
        <v>836</v>
      </c>
      <c r="B4" s="1">
        <v>1083363944.4499998</v>
      </c>
      <c r="C4" s="1">
        <v>32105680</v>
      </c>
      <c r="D4" s="1">
        <v>72098886</v>
      </c>
      <c r="E4" s="1">
        <v>579588867.19000006</v>
      </c>
      <c r="F4" s="1">
        <v>399570511.26000005</v>
      </c>
    </row>
    <row r="5" spans="1:6" x14ac:dyDescent="0.25">
      <c r="A5" s="452" t="s">
        <v>71</v>
      </c>
      <c r="B5" s="1">
        <v>600000</v>
      </c>
      <c r="C5" s="1">
        <v>0</v>
      </c>
      <c r="D5" s="1">
        <v>0</v>
      </c>
      <c r="E5" s="1">
        <v>0</v>
      </c>
      <c r="F5" s="1">
        <v>600000</v>
      </c>
    </row>
    <row r="6" spans="1:6" x14ac:dyDescent="0.25">
      <c r="A6" s="453" t="s">
        <v>1015</v>
      </c>
      <c r="B6" s="1">
        <v>600000</v>
      </c>
      <c r="C6" s="1">
        <v>0</v>
      </c>
      <c r="D6" s="1">
        <v>0</v>
      </c>
      <c r="E6" s="1">
        <v>0</v>
      </c>
      <c r="F6" s="1">
        <v>600000</v>
      </c>
    </row>
    <row r="7" spans="1:6" x14ac:dyDescent="0.25">
      <c r="A7" s="452" t="s">
        <v>15</v>
      </c>
      <c r="B7" s="1">
        <v>504454848.42999995</v>
      </c>
      <c r="C7" s="1">
        <v>211250</v>
      </c>
      <c r="D7" s="1">
        <v>0</v>
      </c>
      <c r="E7" s="1">
        <v>225386399.60999998</v>
      </c>
      <c r="F7" s="1">
        <v>278857198.82000005</v>
      </c>
    </row>
    <row r="8" spans="1:6" x14ac:dyDescent="0.25">
      <c r="A8" s="453" t="s">
        <v>833</v>
      </c>
      <c r="B8" s="1">
        <v>498576457.47999996</v>
      </c>
      <c r="E8" s="1">
        <v>225151268.20999998</v>
      </c>
      <c r="F8" s="1">
        <v>273425189.27000004</v>
      </c>
    </row>
    <row r="9" spans="1:6" x14ac:dyDescent="0.25">
      <c r="A9" s="453" t="s">
        <v>903</v>
      </c>
      <c r="B9" s="1">
        <v>23750</v>
      </c>
      <c r="C9" s="1">
        <v>23750</v>
      </c>
      <c r="F9" s="1">
        <v>0</v>
      </c>
    </row>
    <row r="10" spans="1:6" x14ac:dyDescent="0.25">
      <c r="A10" s="453" t="s">
        <v>1033</v>
      </c>
      <c r="B10" s="1">
        <v>4687500</v>
      </c>
      <c r="C10" s="1">
        <v>187500</v>
      </c>
      <c r="D10" s="1">
        <v>0</v>
      </c>
      <c r="E10" s="1">
        <v>235131.4</v>
      </c>
      <c r="F10" s="1">
        <v>4264868.5999999996</v>
      </c>
    </row>
    <row r="11" spans="1:6" x14ac:dyDescent="0.25">
      <c r="A11" s="453" t="s">
        <v>1082</v>
      </c>
      <c r="B11" s="1">
        <v>1167140.9499999993</v>
      </c>
      <c r="D11" s="1">
        <v>0</v>
      </c>
      <c r="E11" s="1">
        <v>0</v>
      </c>
      <c r="F11" s="1">
        <v>1167140.9499999993</v>
      </c>
    </row>
    <row r="12" spans="1:6" x14ac:dyDescent="0.25">
      <c r="A12" s="452" t="s">
        <v>16</v>
      </c>
      <c r="B12" s="1">
        <v>262603199</v>
      </c>
      <c r="C12" s="1">
        <v>0</v>
      </c>
      <c r="D12" s="1">
        <v>0</v>
      </c>
      <c r="E12" s="1">
        <v>261159637</v>
      </c>
      <c r="F12" s="1">
        <v>1443562</v>
      </c>
    </row>
    <row r="13" spans="1:6" x14ac:dyDescent="0.25">
      <c r="A13" s="453" t="s">
        <v>1033</v>
      </c>
      <c r="B13" s="1">
        <v>262603199</v>
      </c>
      <c r="C13" s="1">
        <v>0</v>
      </c>
      <c r="D13" s="1">
        <v>0</v>
      </c>
      <c r="E13" s="1">
        <v>261159637</v>
      </c>
      <c r="F13" s="1">
        <v>1443562</v>
      </c>
    </row>
    <row r="14" spans="1:6" x14ac:dyDescent="0.25">
      <c r="A14" s="452" t="s">
        <v>17</v>
      </c>
      <c r="B14" s="1">
        <v>97937257.010000005</v>
      </c>
      <c r="E14" s="1">
        <v>48968628.579999998</v>
      </c>
      <c r="F14" s="1">
        <v>48968628.430000007</v>
      </c>
    </row>
    <row r="15" spans="1:6" x14ac:dyDescent="0.25">
      <c r="A15" s="453" t="s">
        <v>1033</v>
      </c>
      <c r="B15" s="1">
        <v>97937257.010000005</v>
      </c>
      <c r="E15" s="1">
        <v>48968628.579999998</v>
      </c>
      <c r="F15" s="1">
        <v>48968628.430000007</v>
      </c>
    </row>
    <row r="16" spans="1:6" x14ac:dyDescent="0.25">
      <c r="A16" s="452" t="s">
        <v>125</v>
      </c>
      <c r="B16" s="1">
        <v>0</v>
      </c>
      <c r="C16" s="1">
        <v>0</v>
      </c>
      <c r="D16" s="1">
        <v>0</v>
      </c>
      <c r="E16" s="1">
        <v>0</v>
      </c>
      <c r="F16" s="1">
        <v>0</v>
      </c>
    </row>
    <row r="17" spans="1:6" x14ac:dyDescent="0.25">
      <c r="A17" s="453" t="s">
        <v>1033</v>
      </c>
      <c r="B17" s="1">
        <v>0</v>
      </c>
      <c r="C17" s="1">
        <v>0</v>
      </c>
      <c r="D17" s="1">
        <v>0</v>
      </c>
      <c r="E17" s="1">
        <v>0</v>
      </c>
      <c r="F17" s="1">
        <v>0</v>
      </c>
    </row>
    <row r="18" spans="1:6" x14ac:dyDescent="0.25">
      <c r="A18" s="452" t="s">
        <v>702</v>
      </c>
      <c r="B18" s="1">
        <v>166900820.00999999</v>
      </c>
      <c r="C18" s="1">
        <v>31894430</v>
      </c>
      <c r="D18" s="1">
        <v>36106930</v>
      </c>
      <c r="E18" s="1">
        <v>29198338</v>
      </c>
      <c r="F18" s="1">
        <v>69701122.010000005</v>
      </c>
    </row>
    <row r="19" spans="1:6" x14ac:dyDescent="0.25">
      <c r="A19" s="453" t="s">
        <v>1033</v>
      </c>
      <c r="B19" s="1">
        <v>166900820.00999999</v>
      </c>
      <c r="C19" s="1">
        <v>31894430</v>
      </c>
      <c r="D19" s="1">
        <v>36106930</v>
      </c>
      <c r="E19" s="1">
        <v>29198338</v>
      </c>
      <c r="F19" s="1">
        <v>69701122.010000005</v>
      </c>
    </row>
    <row r="20" spans="1:6" x14ac:dyDescent="0.25">
      <c r="A20" s="452" t="s">
        <v>1052</v>
      </c>
      <c r="B20" s="1">
        <v>50867820</v>
      </c>
      <c r="C20" s="1">
        <v>0</v>
      </c>
      <c r="D20" s="1">
        <v>35991956</v>
      </c>
      <c r="E20" s="1">
        <v>14875864</v>
      </c>
      <c r="F20" s="1">
        <v>0</v>
      </c>
    </row>
    <row r="21" spans="1:6" x14ac:dyDescent="0.25">
      <c r="A21" s="453" t="s">
        <v>1033</v>
      </c>
      <c r="B21" s="1">
        <v>50867820</v>
      </c>
      <c r="C21" s="1">
        <v>0</v>
      </c>
      <c r="D21" s="1">
        <v>35991956</v>
      </c>
      <c r="E21" s="1">
        <v>14875864</v>
      </c>
      <c r="F21" s="1">
        <v>0</v>
      </c>
    </row>
    <row r="22" spans="1:6" x14ac:dyDescent="0.25">
      <c r="A22" s="451" t="s">
        <v>842</v>
      </c>
      <c r="B22" s="1">
        <v>754536940.88</v>
      </c>
      <c r="C22" s="1">
        <v>34370292.980000004</v>
      </c>
      <c r="D22" s="1">
        <v>34369990.280000001</v>
      </c>
      <c r="E22" s="1">
        <v>328701868.18999994</v>
      </c>
      <c r="F22" s="1">
        <v>357094789.43000013</v>
      </c>
    </row>
    <row r="23" spans="1:6" x14ac:dyDescent="0.25">
      <c r="A23" s="452" t="s">
        <v>71</v>
      </c>
      <c r="B23" s="1">
        <v>3096301.35</v>
      </c>
      <c r="F23" s="1">
        <v>3096301.35</v>
      </c>
    </row>
    <row r="24" spans="1:6" x14ac:dyDescent="0.25">
      <c r="A24" s="453" t="s">
        <v>1015</v>
      </c>
      <c r="B24" s="1">
        <v>3096301.35</v>
      </c>
      <c r="F24" s="1">
        <v>3096301.35</v>
      </c>
    </row>
    <row r="25" spans="1:6" x14ac:dyDescent="0.25">
      <c r="A25" s="452" t="s">
        <v>15</v>
      </c>
      <c r="B25" s="1">
        <v>739031908.56999993</v>
      </c>
      <c r="C25" s="1">
        <v>34370292.980000004</v>
      </c>
      <c r="D25" s="1">
        <v>34369990.280000001</v>
      </c>
      <c r="E25" s="1">
        <v>323171707.05999994</v>
      </c>
      <c r="F25" s="1">
        <v>347119918.25000012</v>
      </c>
    </row>
    <row r="26" spans="1:6" x14ac:dyDescent="0.25">
      <c r="A26" s="453" t="s">
        <v>833</v>
      </c>
      <c r="B26" s="1">
        <v>573986904.41999996</v>
      </c>
      <c r="C26" s="1">
        <v>0</v>
      </c>
      <c r="D26" s="1">
        <v>0</v>
      </c>
      <c r="E26" s="1">
        <v>273752757.18000001</v>
      </c>
      <c r="F26" s="1">
        <v>300234147.24000007</v>
      </c>
    </row>
    <row r="27" spans="1:6" x14ac:dyDescent="0.25">
      <c r="A27" s="453" t="s">
        <v>903</v>
      </c>
      <c r="B27" s="1">
        <v>114066281.40000001</v>
      </c>
      <c r="C27" s="1">
        <v>34097749.980000004</v>
      </c>
      <c r="D27" s="1">
        <v>34369990.280000001</v>
      </c>
      <c r="E27" s="1">
        <v>35840186.119999997</v>
      </c>
      <c r="F27" s="1">
        <v>9758355.0200000033</v>
      </c>
    </row>
    <row r="28" spans="1:6" x14ac:dyDescent="0.25">
      <c r="A28" s="453" t="s">
        <v>994</v>
      </c>
      <c r="B28" s="1">
        <v>1745000</v>
      </c>
      <c r="C28" s="1">
        <v>272543</v>
      </c>
      <c r="D28" s="1">
        <v>0</v>
      </c>
      <c r="E28" s="1">
        <v>77456.7</v>
      </c>
      <c r="F28" s="1">
        <v>1395000.3</v>
      </c>
    </row>
    <row r="29" spans="1:6" x14ac:dyDescent="0.25">
      <c r="A29" s="453" t="s">
        <v>1015</v>
      </c>
      <c r="B29" s="1">
        <v>23494698.82</v>
      </c>
      <c r="C29" s="1">
        <v>0</v>
      </c>
      <c r="D29" s="1">
        <v>0</v>
      </c>
      <c r="E29" s="1">
        <v>709187.28</v>
      </c>
      <c r="F29" s="1">
        <v>22785511.539999999</v>
      </c>
    </row>
    <row r="30" spans="1:6" x14ac:dyDescent="0.25">
      <c r="A30" s="453" t="s">
        <v>1033</v>
      </c>
      <c r="B30" s="1">
        <v>16966241.629999999</v>
      </c>
      <c r="C30" s="1">
        <v>0</v>
      </c>
      <c r="D30" s="1">
        <v>0</v>
      </c>
      <c r="E30" s="1">
        <v>12792119.779999999</v>
      </c>
      <c r="F30" s="1">
        <v>4174121.85</v>
      </c>
    </row>
    <row r="31" spans="1:6" x14ac:dyDescent="0.25">
      <c r="A31" s="453" t="s">
        <v>1082</v>
      </c>
      <c r="B31" s="1">
        <v>8772782.2999999989</v>
      </c>
      <c r="D31" s="1">
        <v>0</v>
      </c>
      <c r="E31" s="1">
        <v>0</v>
      </c>
      <c r="F31" s="1">
        <v>8772782.2999999989</v>
      </c>
    </row>
    <row r="32" spans="1:6" x14ac:dyDescent="0.25">
      <c r="A32" s="452" t="s">
        <v>18</v>
      </c>
      <c r="B32" s="1">
        <v>9345481.6999999993</v>
      </c>
      <c r="C32" s="1">
        <v>0</v>
      </c>
      <c r="D32" s="1">
        <v>0</v>
      </c>
      <c r="E32" s="1">
        <v>5530161.1299999999</v>
      </c>
      <c r="F32" s="1">
        <v>3815320.57</v>
      </c>
    </row>
    <row r="33" spans="1:6" x14ac:dyDescent="0.25">
      <c r="A33" s="453" t="s">
        <v>1015</v>
      </c>
      <c r="B33" s="1">
        <v>3815320.57</v>
      </c>
      <c r="C33" s="1">
        <v>0</v>
      </c>
      <c r="D33" s="1">
        <v>0</v>
      </c>
      <c r="E33" s="1">
        <v>0</v>
      </c>
      <c r="F33" s="1">
        <v>3815320.57</v>
      </c>
    </row>
    <row r="34" spans="1:6" x14ac:dyDescent="0.25">
      <c r="A34" s="453" t="s">
        <v>1033</v>
      </c>
      <c r="B34" s="1">
        <v>5530161.1299999999</v>
      </c>
      <c r="C34" s="1">
        <v>0</v>
      </c>
      <c r="D34" s="1">
        <v>0</v>
      </c>
      <c r="E34" s="1">
        <v>5530161.1299999999</v>
      </c>
      <c r="F34" s="1">
        <v>0</v>
      </c>
    </row>
    <row r="35" spans="1:6" x14ac:dyDescent="0.25">
      <c r="A35" s="452" t="s">
        <v>19</v>
      </c>
      <c r="B35" s="1">
        <v>3063249.26</v>
      </c>
      <c r="F35" s="1">
        <v>3063249.26</v>
      </c>
    </row>
    <row r="36" spans="1:6" x14ac:dyDescent="0.25">
      <c r="A36" s="453" t="s">
        <v>1015</v>
      </c>
      <c r="B36" s="1">
        <v>3063249.26</v>
      </c>
      <c r="F36" s="1">
        <v>3063249.26</v>
      </c>
    </row>
    <row r="37" spans="1:6" x14ac:dyDescent="0.25">
      <c r="A37" s="451" t="s">
        <v>1</v>
      </c>
      <c r="B37" s="1">
        <v>1837900885.3299999</v>
      </c>
      <c r="C37" s="1">
        <v>66475972.980000004</v>
      </c>
      <c r="D37" s="1">
        <v>106468876.28</v>
      </c>
      <c r="E37" s="1">
        <v>908290735.38000011</v>
      </c>
      <c r="F37" s="1">
        <v>756665300.69000006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I41"/>
  <sheetViews>
    <sheetView showGridLines="0" zoomScaleNormal="100" workbookViewId="0">
      <selection activeCell="B2" sqref="B2:H2"/>
    </sheetView>
  </sheetViews>
  <sheetFormatPr baseColWidth="10" defaultRowHeight="15" x14ac:dyDescent="0.25"/>
  <cols>
    <col min="1" max="1" width="11.42578125" style="77"/>
    <col min="2" max="2" width="54.7109375" style="77" customWidth="1"/>
    <col min="3" max="3" width="19.42578125" style="1" bestFit="1" customWidth="1"/>
    <col min="4" max="4" width="16.5703125" style="1" bestFit="1" customWidth="1"/>
    <col min="5" max="6" width="17.7109375" style="1" bestFit="1" customWidth="1"/>
    <col min="7" max="7" width="19.42578125" style="1" bestFit="1" customWidth="1"/>
    <col min="8" max="8" width="10.85546875" style="188" bestFit="1" customWidth="1"/>
    <col min="9" max="9" width="16.7109375" style="77" bestFit="1" customWidth="1"/>
    <col min="10" max="10" width="15.5703125" style="77" bestFit="1" customWidth="1"/>
    <col min="11" max="16384" width="11.42578125" style="77"/>
  </cols>
  <sheetData>
    <row r="2" spans="2:9" ht="15.75" x14ac:dyDescent="0.25">
      <c r="B2" s="584"/>
      <c r="C2" s="584"/>
      <c r="D2" s="584"/>
      <c r="E2" s="584"/>
      <c r="F2" s="584"/>
      <c r="G2" s="584"/>
      <c r="H2" s="584"/>
    </row>
    <row r="4" spans="2:9" ht="30" x14ac:dyDescent="0.25">
      <c r="B4" s="11" t="s">
        <v>706</v>
      </c>
      <c r="C4" s="11" t="s">
        <v>707</v>
      </c>
      <c r="D4" s="11" t="s">
        <v>750</v>
      </c>
      <c r="E4" s="11" t="s">
        <v>749</v>
      </c>
      <c r="F4" s="11" t="s">
        <v>730</v>
      </c>
      <c r="G4" s="11" t="s">
        <v>20</v>
      </c>
      <c r="H4" s="11" t="s">
        <v>14</v>
      </c>
    </row>
    <row r="5" spans="2:9" ht="15.75" x14ac:dyDescent="0.25">
      <c r="B5" s="127" t="s">
        <v>722</v>
      </c>
      <c r="C5" s="128">
        <f>+C6+C8+C13+C15+C17+C19+C21</f>
        <v>1083363944.45</v>
      </c>
      <c r="D5" s="128">
        <f t="shared" ref="D5:G5" si="0">+D6+D8+D13+D15+D17+D19+D21</f>
        <v>32105680</v>
      </c>
      <c r="E5" s="128">
        <f t="shared" si="0"/>
        <v>72098886</v>
      </c>
      <c r="F5" s="128">
        <f>+F6+F8+F13+F15+F17+F19+F21</f>
        <v>579588867.19000006</v>
      </c>
      <c r="G5" s="128">
        <f t="shared" si="0"/>
        <v>399570511.25999999</v>
      </c>
      <c r="H5" s="185">
        <f t="shared" ref="H5:H16" si="1">+F5/C5</f>
        <v>0.53498999127596458</v>
      </c>
    </row>
    <row r="6" spans="2:9" s="78" customFormat="1" ht="18" customHeight="1" x14ac:dyDescent="0.25">
      <c r="B6" s="184" t="s">
        <v>731</v>
      </c>
      <c r="C6" s="133">
        <f>SUM(C7:C7)</f>
        <v>600000</v>
      </c>
      <c r="D6" s="133">
        <f>SUM(D7:D7)</f>
        <v>0</v>
      </c>
      <c r="E6" s="133">
        <f>SUM(E7:E7)</f>
        <v>0</v>
      </c>
      <c r="F6" s="133">
        <f>+F7</f>
        <v>0</v>
      </c>
      <c r="G6" s="133">
        <f t="shared" ref="G6:G7" si="2">+C6-F6</f>
        <v>600000</v>
      </c>
      <c r="H6" s="186">
        <f t="shared" si="1"/>
        <v>0</v>
      </c>
    </row>
    <row r="7" spans="2:9" x14ac:dyDescent="0.25">
      <c r="B7" s="131" t="s">
        <v>1090</v>
      </c>
      <c r="C7" s="132">
        <v>600000</v>
      </c>
      <c r="D7" s="132">
        <v>0</v>
      </c>
      <c r="E7" s="132"/>
      <c r="F7" s="132">
        <v>0</v>
      </c>
      <c r="G7" s="132">
        <f t="shared" si="2"/>
        <v>600000</v>
      </c>
      <c r="H7" s="187">
        <f t="shared" si="1"/>
        <v>0</v>
      </c>
    </row>
    <row r="8" spans="2:9" s="78" customFormat="1" ht="18" customHeight="1" x14ac:dyDescent="0.25">
      <c r="B8" s="184" t="s">
        <v>732</v>
      </c>
      <c r="C8" s="133">
        <f>SUM(C9:C12)</f>
        <v>504454848.43000001</v>
      </c>
      <c r="D8" s="133">
        <f t="shared" ref="D8:F8" si="3">SUM(D9:D12)</f>
        <v>211250</v>
      </c>
      <c r="E8" s="133">
        <f t="shared" si="3"/>
        <v>0</v>
      </c>
      <c r="F8" s="133">
        <f t="shared" si="3"/>
        <v>225386399.61000001</v>
      </c>
      <c r="G8" s="133">
        <f>SUM(G9:G12)</f>
        <v>278857198.81999999</v>
      </c>
      <c r="H8" s="186">
        <f>+F8/C8</f>
        <v>0.44679201778209382</v>
      </c>
    </row>
    <row r="9" spans="2:9" x14ac:dyDescent="0.25">
      <c r="B9" s="131" t="s">
        <v>723</v>
      </c>
      <c r="C9" s="132">
        <v>498576457.48000002</v>
      </c>
      <c r="D9" s="132">
        <f>+E11</f>
        <v>0</v>
      </c>
      <c r="E9" s="132">
        <v>0</v>
      </c>
      <c r="F9" s="132">
        <v>225151268.21000001</v>
      </c>
      <c r="G9" s="132">
        <f>+C9-D9-E9-F9</f>
        <v>273425189.26999998</v>
      </c>
      <c r="H9" s="187">
        <f>+F9/C9</f>
        <v>0.4515882465610237</v>
      </c>
    </row>
    <row r="10" spans="2:9" x14ac:dyDescent="0.25">
      <c r="B10" s="81" t="s">
        <v>703</v>
      </c>
      <c r="C10" s="132">
        <v>23750</v>
      </c>
      <c r="D10" s="132">
        <v>23750</v>
      </c>
      <c r="E10" s="132">
        <v>0</v>
      </c>
      <c r="F10" s="132">
        <v>0</v>
      </c>
      <c r="G10" s="132">
        <f t="shared" ref="G10:G12" si="4">+C10-D10-E10-F10</f>
        <v>0</v>
      </c>
      <c r="H10" s="187">
        <f>+F10/C10</f>
        <v>0</v>
      </c>
    </row>
    <row r="11" spans="2:9" x14ac:dyDescent="0.25">
      <c r="B11" s="131" t="s">
        <v>121</v>
      </c>
      <c r="C11" s="132">
        <v>4687500</v>
      </c>
      <c r="D11" s="132">
        <v>187500</v>
      </c>
      <c r="E11" s="132">
        <v>0</v>
      </c>
      <c r="F11" s="132">
        <v>235131.4</v>
      </c>
      <c r="G11" s="132">
        <f t="shared" si="4"/>
        <v>4264868.5999999996</v>
      </c>
      <c r="H11" s="187">
        <f>+F11/C11</f>
        <v>5.0161365333333333E-2</v>
      </c>
    </row>
    <row r="12" spans="2:9" x14ac:dyDescent="0.25">
      <c r="B12" s="131" t="s">
        <v>704</v>
      </c>
      <c r="C12" s="132">
        <v>1167140.95</v>
      </c>
      <c r="D12" s="132">
        <v>0</v>
      </c>
      <c r="E12" s="132">
        <v>0</v>
      </c>
      <c r="F12" s="132">
        <v>0</v>
      </c>
      <c r="G12" s="132">
        <f t="shared" si="4"/>
        <v>1167140.95</v>
      </c>
      <c r="H12" s="187">
        <f>+F12/C12</f>
        <v>0</v>
      </c>
    </row>
    <row r="13" spans="2:9" s="78" customFormat="1" ht="28.5" customHeight="1" x14ac:dyDescent="0.25">
      <c r="B13" s="134" t="s">
        <v>733</v>
      </c>
      <c r="C13" s="135">
        <f>SUM(C14:C14)</f>
        <v>262603199</v>
      </c>
      <c r="D13" s="135">
        <f t="shared" ref="D13:E13" si="5">SUM(D14:D14)</f>
        <v>0</v>
      </c>
      <c r="E13" s="135">
        <f t="shared" si="5"/>
        <v>0</v>
      </c>
      <c r="F13" s="135">
        <f>+F14</f>
        <v>261159637</v>
      </c>
      <c r="G13" s="135">
        <f>+G14</f>
        <v>1443562</v>
      </c>
      <c r="H13" s="186">
        <f t="shared" si="1"/>
        <v>0.99450287732404963</v>
      </c>
      <c r="I13" s="341"/>
    </row>
    <row r="14" spans="2:9" x14ac:dyDescent="0.25">
      <c r="B14" s="131" t="s">
        <v>121</v>
      </c>
      <c r="C14" s="132">
        <v>262603199</v>
      </c>
      <c r="D14" s="132">
        <v>0</v>
      </c>
      <c r="E14" s="132">
        <v>0</v>
      </c>
      <c r="F14" s="132">
        <v>261159637</v>
      </c>
      <c r="G14" s="132">
        <f>+C14-D14-E14-F14</f>
        <v>1443562</v>
      </c>
      <c r="H14" s="187">
        <f t="shared" si="1"/>
        <v>0.99450287732404963</v>
      </c>
      <c r="I14" s="349"/>
    </row>
    <row r="15" spans="2:9" s="78" customFormat="1" ht="18" customHeight="1" x14ac:dyDescent="0.25">
      <c r="B15" s="184" t="s">
        <v>734</v>
      </c>
      <c r="C15" s="133">
        <f>+C16</f>
        <v>97937257.010000005</v>
      </c>
      <c r="D15" s="133">
        <f t="shared" ref="D15:E15" si="6">+D16</f>
        <v>0</v>
      </c>
      <c r="E15" s="133">
        <f t="shared" si="6"/>
        <v>0</v>
      </c>
      <c r="F15" s="133">
        <f>+F16</f>
        <v>48968628.579999998</v>
      </c>
      <c r="G15" s="133">
        <f>+C15-F15</f>
        <v>48968628.430000007</v>
      </c>
      <c r="H15" s="186">
        <f t="shared" si="1"/>
        <v>0.50000000076579632</v>
      </c>
    </row>
    <row r="16" spans="2:9" x14ac:dyDescent="0.25">
      <c r="B16" s="131" t="s">
        <v>121</v>
      </c>
      <c r="C16" s="132">
        <v>97937257.010000005</v>
      </c>
      <c r="D16" s="132">
        <v>0</v>
      </c>
      <c r="E16" s="132">
        <v>0</v>
      </c>
      <c r="F16" s="132">
        <v>48968628.579999998</v>
      </c>
      <c r="G16" s="132">
        <f>+C16-F16</f>
        <v>48968628.430000007</v>
      </c>
      <c r="H16" s="187">
        <f t="shared" si="1"/>
        <v>0.50000000076579632</v>
      </c>
      <c r="I16" s="1"/>
    </row>
    <row r="17" spans="2:9" s="78" customFormat="1" ht="18" customHeight="1" x14ac:dyDescent="0.25">
      <c r="B17" s="192" t="s">
        <v>735</v>
      </c>
      <c r="C17" s="133">
        <f>+C18</f>
        <v>0</v>
      </c>
      <c r="D17" s="133">
        <f t="shared" ref="D17:E17" si="7">+D18</f>
        <v>0</v>
      </c>
      <c r="E17" s="133">
        <f t="shared" si="7"/>
        <v>0</v>
      </c>
      <c r="F17" s="133"/>
      <c r="G17" s="133">
        <f>+G18</f>
        <v>0</v>
      </c>
      <c r="H17" s="186">
        <v>0</v>
      </c>
      <c r="I17" s="463"/>
    </row>
    <row r="18" spans="2:9" x14ac:dyDescent="0.25">
      <c r="B18" s="201" t="s">
        <v>121</v>
      </c>
      <c r="C18" s="283">
        <v>0</v>
      </c>
      <c r="D18" s="283">
        <v>0</v>
      </c>
      <c r="E18" s="283">
        <v>0</v>
      </c>
      <c r="F18" s="283">
        <v>0</v>
      </c>
      <c r="G18" s="283">
        <f>+C18-D18-E18-F18</f>
        <v>0</v>
      </c>
      <c r="H18" s="284">
        <v>0</v>
      </c>
      <c r="I18" s="464"/>
    </row>
    <row r="19" spans="2:9" s="78" customFormat="1" ht="28.5" customHeight="1" x14ac:dyDescent="0.25">
      <c r="B19" s="134" t="s">
        <v>1086</v>
      </c>
      <c r="C19" s="135">
        <f>SUM(C20:C20)</f>
        <v>166900820.00999999</v>
      </c>
      <c r="D19" s="135">
        <f t="shared" ref="D19:E19" si="8">SUM(D20:D20)</f>
        <v>31894430</v>
      </c>
      <c r="E19" s="135">
        <f t="shared" si="8"/>
        <v>36106930</v>
      </c>
      <c r="F19" s="135">
        <f>+F20</f>
        <v>29198338</v>
      </c>
      <c r="G19" s="135">
        <f>+G20</f>
        <v>69701122.00999999</v>
      </c>
      <c r="H19" s="186">
        <f t="shared" ref="H19:H22" si="9">+F19/C19</f>
        <v>0.17494424532036787</v>
      </c>
      <c r="I19" s="341"/>
    </row>
    <row r="20" spans="2:9" x14ac:dyDescent="0.25">
      <c r="B20" s="131" t="s">
        <v>121</v>
      </c>
      <c r="C20" s="132">
        <v>166900820.00999999</v>
      </c>
      <c r="D20" s="132">
        <v>31894430</v>
      </c>
      <c r="E20" s="132">
        <v>36106930</v>
      </c>
      <c r="F20" s="132">
        <v>29198338</v>
      </c>
      <c r="G20" s="132">
        <f>+C20-D20-E20-F20</f>
        <v>69701122.00999999</v>
      </c>
      <c r="H20" s="187">
        <f t="shared" si="9"/>
        <v>0.17494424532036787</v>
      </c>
      <c r="I20" s="132"/>
    </row>
    <row r="21" spans="2:9" s="78" customFormat="1" ht="18" customHeight="1" x14ac:dyDescent="0.25">
      <c r="B21" s="192" t="s">
        <v>1087</v>
      </c>
      <c r="C21" s="133">
        <f>+C22</f>
        <v>50867820</v>
      </c>
      <c r="D21" s="133">
        <f t="shared" ref="D21:G21" si="10">+D22</f>
        <v>0</v>
      </c>
      <c r="E21" s="133">
        <f t="shared" si="10"/>
        <v>35991956</v>
      </c>
      <c r="F21" s="133">
        <f t="shared" si="10"/>
        <v>14875864</v>
      </c>
      <c r="G21" s="133">
        <f t="shared" si="10"/>
        <v>0</v>
      </c>
      <c r="H21" s="186">
        <v>0</v>
      </c>
      <c r="I21" s="341"/>
    </row>
    <row r="22" spans="2:9" x14ac:dyDescent="0.25">
      <c r="B22" s="201" t="s">
        <v>121</v>
      </c>
      <c r="C22" s="283">
        <f>35991956+14875864</f>
        <v>50867820</v>
      </c>
      <c r="D22" s="283">
        <v>0</v>
      </c>
      <c r="E22" s="283">
        <v>35991956</v>
      </c>
      <c r="F22" s="283">
        <v>14875864</v>
      </c>
      <c r="G22" s="283">
        <f>+C22-D22-E22-F22</f>
        <v>0</v>
      </c>
      <c r="H22" s="284">
        <f t="shared" si="9"/>
        <v>0.29244154752454499</v>
      </c>
    </row>
    <row r="23" spans="2:9" x14ac:dyDescent="0.25">
      <c r="B23" s="131"/>
      <c r="C23" s="132"/>
      <c r="D23" s="132"/>
      <c r="E23" s="132"/>
      <c r="F23" s="132"/>
      <c r="G23" s="132"/>
      <c r="H23" s="187"/>
    </row>
    <row r="24" spans="2:9" ht="15.75" x14ac:dyDescent="0.25">
      <c r="B24" s="338" t="s">
        <v>705</v>
      </c>
      <c r="C24" s="339">
        <f>+C25+C27+C34+C37</f>
        <v>754536940.88</v>
      </c>
      <c r="D24" s="339">
        <f t="shared" ref="D24:G24" si="11">+D25+D27+D34+D37</f>
        <v>34370292.979999997</v>
      </c>
      <c r="E24" s="339">
        <f t="shared" si="11"/>
        <v>34369990.280000001</v>
      </c>
      <c r="F24" s="339">
        <f t="shared" si="11"/>
        <v>328701868.18999994</v>
      </c>
      <c r="G24" s="339">
        <f t="shared" si="11"/>
        <v>357094789.43000007</v>
      </c>
      <c r="H24" s="340">
        <f t="shared" ref="H24:H39" si="12">+F24/C24</f>
        <v>0.43563389727034718</v>
      </c>
    </row>
    <row r="25" spans="2:9" s="78" customFormat="1" ht="18" customHeight="1" x14ac:dyDescent="0.25">
      <c r="B25" s="184" t="s">
        <v>731</v>
      </c>
      <c r="C25" s="133">
        <f>SUM(C26:C26)</f>
        <v>3096301.35</v>
      </c>
      <c r="D25" s="133">
        <f>SUM(D26:D26)</f>
        <v>0</v>
      </c>
      <c r="E25" s="133">
        <f>SUM(E26:E26)</f>
        <v>0</v>
      </c>
      <c r="F25" s="133">
        <f>+F26</f>
        <v>0</v>
      </c>
      <c r="G25" s="133">
        <f t="shared" ref="G25:G26" si="13">+C25-F25</f>
        <v>3096301.35</v>
      </c>
      <c r="H25" s="186">
        <f t="shared" si="12"/>
        <v>0</v>
      </c>
    </row>
    <row r="26" spans="2:9" x14ac:dyDescent="0.25">
      <c r="B26" s="131" t="s">
        <v>1090</v>
      </c>
      <c r="C26" s="132">
        <v>3096301.35</v>
      </c>
      <c r="D26" s="132">
        <v>0</v>
      </c>
      <c r="E26" s="132"/>
      <c r="F26" s="132">
        <v>0</v>
      </c>
      <c r="G26" s="132">
        <f t="shared" si="13"/>
        <v>3096301.35</v>
      </c>
      <c r="H26" s="187">
        <f t="shared" si="12"/>
        <v>0</v>
      </c>
    </row>
    <row r="27" spans="2:9" x14ac:dyDescent="0.25">
      <c r="B27" s="192" t="s">
        <v>732</v>
      </c>
      <c r="C27" s="125">
        <f>SUM(C28:C33)</f>
        <v>739031908.56999993</v>
      </c>
      <c r="D27" s="125">
        <f t="shared" ref="D27:G27" si="14">SUM(D28:D33)</f>
        <v>34370292.979999997</v>
      </c>
      <c r="E27" s="125">
        <f t="shared" si="14"/>
        <v>34369990.280000001</v>
      </c>
      <c r="F27" s="125">
        <f t="shared" si="14"/>
        <v>323171707.05999994</v>
      </c>
      <c r="G27" s="125">
        <f t="shared" si="14"/>
        <v>347119918.25000006</v>
      </c>
      <c r="H27" s="190">
        <f t="shared" si="12"/>
        <v>0.43729060046314583</v>
      </c>
    </row>
    <row r="28" spans="2:9" s="78" customFormat="1" ht="18" customHeight="1" x14ac:dyDescent="0.25">
      <c r="B28" s="81" t="s">
        <v>723</v>
      </c>
      <c r="C28" s="126">
        <v>573986904.41999996</v>
      </c>
      <c r="D28" s="126">
        <v>0</v>
      </c>
      <c r="E28" s="126">
        <v>0</v>
      </c>
      <c r="F28" s="126">
        <v>273752757.18000001</v>
      </c>
      <c r="G28" s="126">
        <f>+C28-D28-E28-F28</f>
        <v>300234147.23999995</v>
      </c>
      <c r="H28" s="189">
        <f t="shared" si="12"/>
        <v>0.47693206076995892</v>
      </c>
    </row>
    <row r="29" spans="2:9" x14ac:dyDescent="0.25">
      <c r="B29" s="81" t="s">
        <v>703</v>
      </c>
      <c r="C29" s="126">
        <v>114066281.40000001</v>
      </c>
      <c r="D29" s="126">
        <v>34097749.979999997</v>
      </c>
      <c r="E29" s="126">
        <v>34369990.280000001</v>
      </c>
      <c r="F29" s="126">
        <v>35840186.119999997</v>
      </c>
      <c r="G29" s="126">
        <f t="shared" ref="G29:G33" si="15">+C29-D29-E29-F29</f>
        <v>9758355.0200000182</v>
      </c>
      <c r="H29" s="189">
        <f t="shared" si="12"/>
        <v>0.31420491384581944</v>
      </c>
    </row>
    <row r="30" spans="2:9" x14ac:dyDescent="0.25">
      <c r="B30" s="81" t="s">
        <v>725</v>
      </c>
      <c r="C30" s="126">
        <v>1745000</v>
      </c>
      <c r="D30" s="126">
        <v>272543</v>
      </c>
      <c r="E30" s="126">
        <v>0</v>
      </c>
      <c r="F30" s="126">
        <v>77456.7</v>
      </c>
      <c r="G30" s="126">
        <f t="shared" si="15"/>
        <v>1395000.3</v>
      </c>
      <c r="H30" s="189">
        <f>+F30/C30</f>
        <v>4.4387793696275067E-2</v>
      </c>
    </row>
    <row r="31" spans="2:9" x14ac:dyDescent="0.25">
      <c r="B31" s="81" t="s">
        <v>724</v>
      </c>
      <c r="C31" s="126">
        <v>23494698.82</v>
      </c>
      <c r="D31" s="126">
        <v>0</v>
      </c>
      <c r="E31" s="126">
        <v>0</v>
      </c>
      <c r="F31" s="126">
        <v>709187.28</v>
      </c>
      <c r="G31" s="126">
        <f t="shared" si="15"/>
        <v>22785511.539999999</v>
      </c>
      <c r="H31" s="189">
        <f>+F31/C31</f>
        <v>3.0184991322225428E-2</v>
      </c>
    </row>
    <row r="32" spans="2:9" x14ac:dyDescent="0.25">
      <c r="B32" s="81" t="s">
        <v>121</v>
      </c>
      <c r="C32" s="126">
        <v>16966241.629999999</v>
      </c>
      <c r="D32" s="126">
        <v>0</v>
      </c>
      <c r="E32" s="126">
        <v>0</v>
      </c>
      <c r="F32" s="126">
        <v>12792119.779999999</v>
      </c>
      <c r="G32" s="126">
        <f t="shared" si="15"/>
        <v>4174121.8499999996</v>
      </c>
      <c r="H32" s="189">
        <f t="shared" si="12"/>
        <v>0.75397486720811246</v>
      </c>
    </row>
    <row r="33" spans="2:8" x14ac:dyDescent="0.25">
      <c r="B33" s="131" t="s">
        <v>704</v>
      </c>
      <c r="C33" s="132">
        <v>8772782.3000000007</v>
      </c>
      <c r="D33" s="132">
        <v>0</v>
      </c>
      <c r="E33" s="132">
        <v>0</v>
      </c>
      <c r="F33" s="132">
        <v>0</v>
      </c>
      <c r="G33" s="126">
        <f t="shared" si="15"/>
        <v>8772782.3000000007</v>
      </c>
      <c r="H33" s="187">
        <f t="shared" si="12"/>
        <v>0</v>
      </c>
    </row>
    <row r="34" spans="2:8" x14ac:dyDescent="0.25">
      <c r="B34" s="192" t="s">
        <v>1088</v>
      </c>
      <c r="C34" s="125">
        <f>SUM(C35:C36)</f>
        <v>9345481.6999999993</v>
      </c>
      <c r="D34" s="125">
        <f t="shared" ref="D34:G34" si="16">SUM(D35:D36)</f>
        <v>0</v>
      </c>
      <c r="E34" s="125">
        <f t="shared" si="16"/>
        <v>0</v>
      </c>
      <c r="F34" s="125">
        <f t="shared" si="16"/>
        <v>5530161.1299999999</v>
      </c>
      <c r="G34" s="125">
        <f t="shared" si="16"/>
        <v>3815320.57</v>
      </c>
      <c r="H34" s="190">
        <f t="shared" ref="H34" si="17">+F34/C34</f>
        <v>0.59174703964162712</v>
      </c>
    </row>
    <row r="35" spans="2:8" x14ac:dyDescent="0.25">
      <c r="B35" s="81" t="s">
        <v>724</v>
      </c>
      <c r="C35" s="126">
        <v>3815320.57</v>
      </c>
      <c r="D35" s="126">
        <v>0</v>
      </c>
      <c r="E35" s="126">
        <v>0</v>
      </c>
      <c r="F35" s="126">
        <v>0</v>
      </c>
      <c r="G35" s="126">
        <f t="shared" ref="G35:G36" si="18">+C35-D35-E35-F35</f>
        <v>3815320.57</v>
      </c>
      <c r="H35" s="189">
        <f>+F35/C35</f>
        <v>0</v>
      </c>
    </row>
    <row r="36" spans="2:8" x14ac:dyDescent="0.25">
      <c r="B36" s="81" t="s">
        <v>121</v>
      </c>
      <c r="C36" s="126">
        <v>5530161.1299999999</v>
      </c>
      <c r="D36" s="126">
        <v>0</v>
      </c>
      <c r="E36" s="126">
        <v>0</v>
      </c>
      <c r="F36" s="126">
        <v>5530161.1299999999</v>
      </c>
      <c r="G36" s="126">
        <f t="shared" si="18"/>
        <v>0</v>
      </c>
      <c r="H36" s="189">
        <f t="shared" ref="H36:H38" si="19">+F36/C36</f>
        <v>1</v>
      </c>
    </row>
    <row r="37" spans="2:8" s="78" customFormat="1" ht="18" customHeight="1" x14ac:dyDescent="0.25">
      <c r="B37" s="184" t="s">
        <v>1089</v>
      </c>
      <c r="C37" s="133">
        <f>SUM(C38:C38)</f>
        <v>3063249.26</v>
      </c>
      <c r="D37" s="133">
        <f t="shared" ref="D37:G37" si="20">SUM(D38:D38)</f>
        <v>0</v>
      </c>
      <c r="E37" s="133">
        <f t="shared" si="20"/>
        <v>0</v>
      </c>
      <c r="F37" s="133">
        <f t="shared" si="20"/>
        <v>0</v>
      </c>
      <c r="G37" s="133">
        <f t="shared" si="20"/>
        <v>3063249.26</v>
      </c>
      <c r="H37" s="186">
        <f t="shared" si="19"/>
        <v>0</v>
      </c>
    </row>
    <row r="38" spans="2:8" x14ac:dyDescent="0.25">
      <c r="B38" s="131" t="s">
        <v>1090</v>
      </c>
      <c r="C38" s="132">
        <v>3063249.26</v>
      </c>
      <c r="D38" s="132">
        <v>0</v>
      </c>
      <c r="E38" s="132"/>
      <c r="F38" s="132">
        <v>0</v>
      </c>
      <c r="G38" s="132">
        <f t="shared" ref="G38" si="21">+C38-F38</f>
        <v>3063249.26</v>
      </c>
      <c r="H38" s="187">
        <f t="shared" si="19"/>
        <v>0</v>
      </c>
    </row>
    <row r="39" spans="2:8" x14ac:dyDescent="0.25">
      <c r="B39" s="129" t="s">
        <v>1</v>
      </c>
      <c r="C39" s="130">
        <f>+C5+C24</f>
        <v>1837900885.3299999</v>
      </c>
      <c r="D39" s="130">
        <f t="shared" ref="D39:G39" si="22">+D5+D24</f>
        <v>66475972.979999997</v>
      </c>
      <c r="E39" s="130">
        <f t="shared" si="22"/>
        <v>106468876.28</v>
      </c>
      <c r="F39" s="130">
        <f t="shared" si="22"/>
        <v>908290735.38</v>
      </c>
      <c r="G39" s="130">
        <f t="shared" si="22"/>
        <v>756665300.69000006</v>
      </c>
      <c r="H39" s="191">
        <f t="shared" si="12"/>
        <v>0.49420006412201822</v>
      </c>
    </row>
    <row r="41" spans="2:8" x14ac:dyDescent="0.25">
      <c r="E41" s="1" t="e">
        <f>+E18-#REF!</f>
        <v>#REF!</v>
      </c>
    </row>
  </sheetData>
  <mergeCells count="1">
    <mergeCell ref="B2:H2"/>
  </mergeCells>
  <printOptions horizontalCentered="1"/>
  <pageMargins left="0.31496062992125984" right="0.31496062992125984" top="0.74803149606299213" bottom="0.74803149606299213" header="0.31496062992125984" footer="0.31496062992125984"/>
  <pageSetup paperSize="9" scale="81" fitToHeight="0" orientation="landscape" r:id="rId1"/>
  <colBreaks count="1" manualBreakCount="1">
    <brk id="1" max="1048575" man="1"/>
  </colBreaks>
  <ignoredErrors>
    <ignoredError sqref="G34 G13:G21" formula="1"/>
  </ignoredError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4064F-7489-471E-9F77-9C798547ACF2}">
  <dimension ref="B1:Q39"/>
  <sheetViews>
    <sheetView showGridLines="0" workbookViewId="0">
      <selection activeCell="G9" sqref="G9"/>
    </sheetView>
  </sheetViews>
  <sheetFormatPr baseColWidth="10" defaultRowHeight="15" x14ac:dyDescent="0.25"/>
  <cols>
    <col min="1" max="1" width="5.7109375" style="77" customWidth="1"/>
    <col min="2" max="2" width="36.42578125" style="77" customWidth="1"/>
    <col min="3" max="3" width="20" style="77" customWidth="1"/>
    <col min="4" max="4" width="18.7109375" style="77" customWidth="1"/>
    <col min="5" max="5" width="13.28515625" style="77" customWidth="1"/>
    <col min="6" max="6" width="17.42578125" style="1" bestFit="1" customWidth="1"/>
    <col min="7" max="7" width="18" style="77" bestFit="1" customWidth="1"/>
    <col min="8" max="9" width="15.28515625" style="77" bestFit="1" customWidth="1"/>
    <col min="10" max="10" width="14.28515625" style="77" bestFit="1" customWidth="1"/>
    <col min="11" max="12" width="11" style="77" bestFit="1" customWidth="1"/>
    <col min="13" max="13" width="13.5703125" style="77" bestFit="1" customWidth="1"/>
    <col min="14" max="15" width="16.28515625" style="77" bestFit="1" customWidth="1"/>
    <col min="16" max="16384" width="11.42578125" style="77"/>
  </cols>
  <sheetData>
    <row r="1" spans="2:12" x14ac:dyDescent="0.25">
      <c r="B1" s="586"/>
      <c r="C1" s="586"/>
      <c r="D1" s="586"/>
    </row>
    <row r="2" spans="2:12" x14ac:dyDescent="0.25">
      <c r="B2" s="586" t="s">
        <v>768</v>
      </c>
      <c r="C2" s="586"/>
      <c r="D2" s="586"/>
    </row>
    <row r="3" spans="2:12" x14ac:dyDescent="0.25">
      <c r="B3" s="586" t="s">
        <v>1169</v>
      </c>
      <c r="C3" s="586"/>
      <c r="D3" s="586"/>
    </row>
    <row r="5" spans="2:12" x14ac:dyDescent="0.25">
      <c r="B5" s="11" t="s">
        <v>769</v>
      </c>
      <c r="C5" s="11" t="s">
        <v>770</v>
      </c>
      <c r="D5" s="11" t="s">
        <v>771</v>
      </c>
    </row>
    <row r="6" spans="2:12" s="78" customFormat="1" x14ac:dyDescent="0.25">
      <c r="B6" s="342" t="s">
        <v>772</v>
      </c>
      <c r="C6" s="343" t="s">
        <v>773</v>
      </c>
      <c r="D6" s="344">
        <v>598268.32999999996</v>
      </c>
      <c r="E6" s="341"/>
      <c r="F6" s="587"/>
      <c r="G6" s="587"/>
      <c r="H6" s="587"/>
      <c r="I6" s="587"/>
      <c r="J6" s="587"/>
      <c r="K6" s="587"/>
      <c r="L6" s="459"/>
    </row>
    <row r="7" spans="2:12" s="78" customFormat="1" x14ac:dyDescent="0.25">
      <c r="B7" s="342" t="s">
        <v>774</v>
      </c>
      <c r="C7" s="345" t="s">
        <v>775</v>
      </c>
      <c r="D7" s="344">
        <f>79143251.26-66373.8</f>
        <v>79076877.460000008</v>
      </c>
      <c r="E7" s="341"/>
      <c r="F7" s="588"/>
      <c r="G7" s="589"/>
      <c r="H7" s="589"/>
      <c r="I7" s="589"/>
      <c r="J7" s="589"/>
      <c r="K7" s="589"/>
      <c r="L7" s="460"/>
    </row>
    <row r="8" spans="2:12" x14ac:dyDescent="0.25">
      <c r="B8" s="346" t="s">
        <v>776</v>
      </c>
      <c r="C8" s="347" t="s">
        <v>777</v>
      </c>
      <c r="D8" s="348">
        <f>672683570.67-6220871</f>
        <v>666462699.66999996</v>
      </c>
      <c r="E8" s="349"/>
    </row>
    <row r="9" spans="2:12" x14ac:dyDescent="0.25">
      <c r="B9" s="346" t="s">
        <v>778</v>
      </c>
      <c r="C9" s="347" t="s">
        <v>779</v>
      </c>
      <c r="D9" s="348">
        <v>122084841</v>
      </c>
    </row>
    <row r="10" spans="2:12" x14ac:dyDescent="0.25">
      <c r="B10" s="346" t="s">
        <v>780</v>
      </c>
      <c r="C10" s="347" t="s">
        <v>781</v>
      </c>
      <c r="D10" s="348">
        <f>9629194.1</f>
        <v>9629194.0999999996</v>
      </c>
    </row>
    <row r="11" spans="2:12" ht="15.75" x14ac:dyDescent="0.25">
      <c r="B11" s="350" t="s">
        <v>782</v>
      </c>
      <c r="C11" s="351"/>
      <c r="D11" s="352">
        <f>SUM(D6:D10)</f>
        <v>877851880.55999994</v>
      </c>
      <c r="E11" s="360"/>
      <c r="G11" s="360"/>
      <c r="H11" s="360"/>
      <c r="I11" s="360"/>
      <c r="J11" s="360"/>
      <c r="K11" s="360"/>
    </row>
    <row r="12" spans="2:12" ht="11.25" customHeight="1" x14ac:dyDescent="0.25">
      <c r="E12" s="360"/>
      <c r="G12" s="360"/>
      <c r="H12" s="360"/>
      <c r="I12" s="360"/>
      <c r="J12" s="360"/>
      <c r="K12" s="360"/>
    </row>
    <row r="13" spans="2:12" x14ac:dyDescent="0.25">
      <c r="B13" s="11" t="s">
        <v>783</v>
      </c>
      <c r="C13" s="11" t="s">
        <v>784</v>
      </c>
      <c r="D13" s="353"/>
      <c r="E13" s="360"/>
      <c r="G13" s="360"/>
      <c r="H13" s="360"/>
      <c r="I13" s="360"/>
      <c r="J13" s="360"/>
      <c r="K13" s="360"/>
    </row>
    <row r="14" spans="2:12" s="78" customFormat="1" x14ac:dyDescent="0.25">
      <c r="B14" s="354" t="s">
        <v>785</v>
      </c>
      <c r="C14" s="344">
        <v>1783232608</v>
      </c>
      <c r="E14" s="509"/>
      <c r="F14" s="463"/>
      <c r="G14" s="509"/>
      <c r="H14" s="509"/>
      <c r="I14" s="509"/>
      <c r="J14" s="509"/>
      <c r="K14" s="509"/>
      <c r="L14" s="459"/>
    </row>
    <row r="15" spans="2:12" x14ac:dyDescent="0.25">
      <c r="B15" s="351" t="s">
        <v>786</v>
      </c>
      <c r="C15" s="348">
        <v>908290735.38</v>
      </c>
      <c r="E15" s="360"/>
      <c r="G15" s="360"/>
      <c r="H15" s="360"/>
      <c r="I15" s="360"/>
      <c r="J15" s="360"/>
      <c r="K15" s="360"/>
    </row>
    <row r="16" spans="2:12" ht="15.75" x14ac:dyDescent="0.25">
      <c r="B16" s="350" t="s">
        <v>787</v>
      </c>
      <c r="C16" s="352">
        <f>+C14-C15</f>
        <v>874941872.62</v>
      </c>
      <c r="D16" s="349"/>
      <c r="E16" s="360"/>
      <c r="G16" s="360"/>
      <c r="H16" s="360"/>
      <c r="I16" s="360"/>
      <c r="J16" s="360"/>
      <c r="K16" s="360"/>
    </row>
    <row r="17" spans="2:17" ht="11.25" customHeight="1" x14ac:dyDescent="0.25">
      <c r="E17" s="360"/>
      <c r="G17" s="360"/>
      <c r="H17" s="360"/>
      <c r="I17" s="360"/>
      <c r="J17" s="360"/>
      <c r="K17" s="360"/>
    </row>
    <row r="18" spans="2:17" ht="15.75" x14ac:dyDescent="0.25">
      <c r="B18" s="355" t="s">
        <v>788</v>
      </c>
      <c r="C18" s="356"/>
      <c r="D18" s="357">
        <f>+D11-C16</f>
        <v>2910007.939999938</v>
      </c>
      <c r="E18" s="360"/>
      <c r="G18" s="360"/>
      <c r="H18" s="360"/>
      <c r="I18" s="360"/>
      <c r="J18" s="360"/>
      <c r="K18" s="360"/>
    </row>
    <row r="19" spans="2:17" ht="7.5" customHeight="1" x14ac:dyDescent="0.25">
      <c r="C19" s="353"/>
      <c r="E19" s="358"/>
      <c r="F19" s="525"/>
      <c r="G19" s="358"/>
    </row>
    <row r="20" spans="2:17" x14ac:dyDescent="0.25">
      <c r="B20" s="359" t="s">
        <v>789</v>
      </c>
      <c r="C20" s="360"/>
      <c r="D20" s="360"/>
      <c r="F20" s="1">
        <v>20009.7</v>
      </c>
      <c r="G20" s="4" t="s">
        <v>1179</v>
      </c>
      <c r="H20" s="4"/>
      <c r="I20" s="4"/>
      <c r="J20" s="4"/>
      <c r="K20" s="4"/>
      <c r="L20" s="4"/>
      <c r="M20" s="4"/>
      <c r="N20" s="4"/>
      <c r="O20" s="4"/>
      <c r="P20" s="4"/>
      <c r="Q20" s="4"/>
    </row>
    <row r="21" spans="2:17" x14ac:dyDescent="0.25">
      <c r="B21" s="510" t="s">
        <v>1170</v>
      </c>
      <c r="C21" s="511"/>
      <c r="D21" s="511">
        <v>2659085.54</v>
      </c>
      <c r="E21" s="374"/>
      <c r="F21" s="1">
        <v>40.49</v>
      </c>
      <c r="G21" s="527" t="s">
        <v>1180</v>
      </c>
      <c r="H21" s="527"/>
      <c r="I21" s="527"/>
      <c r="J21" s="527"/>
      <c r="K21" s="527"/>
      <c r="L21" s="527"/>
      <c r="M21" s="527"/>
      <c r="N21" s="527"/>
      <c r="O21" s="4"/>
      <c r="P21" s="4"/>
      <c r="Q21" s="4"/>
    </row>
    <row r="22" spans="2:17" x14ac:dyDescent="0.25">
      <c r="B22" s="510" t="s">
        <v>1171</v>
      </c>
      <c r="C22" s="512"/>
      <c r="D22" s="512">
        <v>91122.34</v>
      </c>
      <c r="E22" s="4"/>
      <c r="G22" s="4"/>
      <c r="H22" s="4"/>
      <c r="I22" s="4"/>
      <c r="J22" s="4"/>
      <c r="K22" s="4"/>
      <c r="L22" s="4"/>
      <c r="M22" s="4"/>
      <c r="N22" s="4"/>
      <c r="O22" s="4"/>
      <c r="P22" s="4"/>
      <c r="Q22" s="4"/>
    </row>
    <row r="23" spans="2:17" x14ac:dyDescent="0.25">
      <c r="B23" s="510" t="s">
        <v>1172</v>
      </c>
      <c r="C23" s="512"/>
      <c r="D23" s="512">
        <v>5702294.7800000003</v>
      </c>
      <c r="E23" s="374"/>
      <c r="F23" s="1">
        <f>66373.08-F20</f>
        <v>46363.380000000005</v>
      </c>
      <c r="G23" s="362"/>
      <c r="H23" s="4"/>
      <c r="J23" s="364"/>
      <c r="K23" s="364"/>
      <c r="L23" s="364"/>
      <c r="M23" s="364"/>
      <c r="N23" s="364"/>
      <c r="O23" s="4"/>
      <c r="P23" s="4"/>
      <c r="Q23" s="4"/>
    </row>
    <row r="24" spans="2:17" x14ac:dyDescent="0.25">
      <c r="B24" s="510" t="s">
        <v>1173</v>
      </c>
      <c r="C24" s="512"/>
      <c r="D24" s="512">
        <v>-6421230</v>
      </c>
      <c r="E24" s="374"/>
      <c r="G24" s="362"/>
      <c r="H24" s="4"/>
      <c r="J24" s="364"/>
      <c r="K24" s="364"/>
      <c r="L24" s="364"/>
      <c r="M24" s="364"/>
      <c r="N24" s="364"/>
      <c r="O24" s="4"/>
      <c r="P24" s="4"/>
      <c r="Q24" s="4"/>
    </row>
    <row r="25" spans="2:17" x14ac:dyDescent="0.25">
      <c r="B25" s="513" t="s">
        <v>1174</v>
      </c>
      <c r="C25" s="511"/>
      <c r="D25" s="511">
        <v>-98822</v>
      </c>
      <c r="E25" s="522"/>
      <c r="F25" s="523"/>
      <c r="G25" s="363"/>
      <c r="H25" s="363"/>
      <c r="I25" s="363"/>
      <c r="J25" s="365"/>
      <c r="K25" s="4"/>
      <c r="L25" s="4"/>
      <c r="M25" s="4"/>
      <c r="N25" s="4"/>
      <c r="O25" s="4"/>
      <c r="P25" s="4"/>
      <c r="Q25" s="4"/>
    </row>
    <row r="26" spans="2:17" x14ac:dyDescent="0.25">
      <c r="B26" s="513" t="s">
        <v>1175</v>
      </c>
      <c r="C26" s="511"/>
      <c r="D26" s="511">
        <v>31.16</v>
      </c>
      <c r="E26" s="514"/>
      <c r="F26" s="524"/>
      <c r="G26" s="363"/>
      <c r="H26" s="363"/>
      <c r="I26" s="363"/>
      <c r="J26" s="365"/>
      <c r="K26" s="4"/>
      <c r="L26" s="4"/>
      <c r="M26" s="4"/>
      <c r="N26" s="4"/>
      <c r="O26" s="4"/>
      <c r="P26" s="4"/>
      <c r="Q26" s="4"/>
    </row>
    <row r="27" spans="2:17" ht="30" x14ac:dyDescent="0.25">
      <c r="B27" s="515" t="s">
        <v>1176</v>
      </c>
      <c r="C27" s="361"/>
      <c r="D27" s="361">
        <v>-1.57</v>
      </c>
      <c r="E27" s="514"/>
      <c r="F27" s="524"/>
      <c r="G27" s="363"/>
      <c r="H27" s="363"/>
      <c r="I27" s="363"/>
      <c r="J27" s="365"/>
      <c r="K27" s="4"/>
      <c r="L27" s="4"/>
      <c r="M27" s="4"/>
      <c r="N27" s="4"/>
      <c r="O27" s="4"/>
      <c r="P27" s="4"/>
      <c r="Q27" s="4"/>
    </row>
    <row r="28" spans="2:17" x14ac:dyDescent="0.25">
      <c r="B28" s="366" t="s">
        <v>790</v>
      </c>
      <c r="C28" s="367"/>
      <c r="D28" s="367">
        <f>SUM(D21:D27)</f>
        <v>1932480.25</v>
      </c>
      <c r="E28" s="516"/>
      <c r="F28" s="526"/>
      <c r="G28" s="585"/>
      <c r="H28" s="585"/>
      <c r="I28" s="585"/>
      <c r="J28" s="585"/>
      <c r="K28" s="585"/>
      <c r="L28" s="585"/>
      <c r="M28" s="365"/>
      <c r="N28" s="365"/>
      <c r="O28" s="4"/>
      <c r="P28" s="4"/>
      <c r="Q28" s="4"/>
    </row>
    <row r="29" spans="2:17" x14ac:dyDescent="0.25">
      <c r="B29" s="368" t="s">
        <v>791</v>
      </c>
      <c r="C29" s="369"/>
      <c r="D29" s="369">
        <f>+D18-D28</f>
        <v>977527.68999993801</v>
      </c>
      <c r="E29" s="374"/>
      <c r="F29" s="312"/>
      <c r="G29" s="4"/>
      <c r="H29" s="4"/>
      <c r="I29" s="4"/>
      <c r="J29" s="365"/>
      <c r="K29" s="4"/>
      <c r="L29" s="4"/>
      <c r="M29" s="4"/>
      <c r="N29" s="365"/>
      <c r="O29" s="4"/>
      <c r="P29" s="4"/>
      <c r="Q29" s="4"/>
    </row>
    <row r="30" spans="2:17" x14ac:dyDescent="0.25">
      <c r="B30" s="517" t="s">
        <v>792</v>
      </c>
      <c r="C30" s="518"/>
      <c r="D30" s="518">
        <v>477417.85</v>
      </c>
      <c r="E30" s="358"/>
      <c r="F30" s="525"/>
      <c r="G30" s="363"/>
      <c r="H30" s="363"/>
      <c r="I30" s="363"/>
      <c r="J30" s="365"/>
      <c r="K30" s="4"/>
      <c r="L30" s="4"/>
      <c r="M30" s="4"/>
      <c r="N30" s="4"/>
      <c r="O30" s="4"/>
      <c r="P30" s="4"/>
      <c r="Q30" s="4"/>
    </row>
    <row r="31" spans="2:17" x14ac:dyDescent="0.25">
      <c r="B31" s="519" t="s">
        <v>793</v>
      </c>
      <c r="C31" s="520"/>
      <c r="D31" s="520">
        <f>+D29-D30</f>
        <v>500109.83999993803</v>
      </c>
      <c r="E31" s="358"/>
      <c r="F31" s="525"/>
      <c r="G31" s="363"/>
      <c r="H31" s="363"/>
      <c r="I31" s="363"/>
      <c r="J31" s="365"/>
      <c r="K31" s="4"/>
      <c r="L31" s="4"/>
      <c r="M31" s="4"/>
      <c r="N31" s="4"/>
      <c r="O31" s="4"/>
      <c r="P31" s="4"/>
      <c r="Q31" s="4"/>
    </row>
    <row r="32" spans="2:17" x14ac:dyDescent="0.25">
      <c r="B32" s="517" t="s">
        <v>1177</v>
      </c>
      <c r="C32" s="353"/>
      <c r="D32" s="353">
        <v>500000</v>
      </c>
      <c r="E32" s="358"/>
      <c r="F32" s="525"/>
      <c r="G32" s="363"/>
      <c r="H32" s="363"/>
      <c r="I32" s="363"/>
      <c r="J32" s="365"/>
      <c r="K32" s="4"/>
      <c r="L32" s="4"/>
      <c r="M32" s="4"/>
      <c r="N32" s="4"/>
      <c r="O32" s="4"/>
      <c r="P32" s="4"/>
      <c r="Q32" s="4"/>
    </row>
    <row r="33" spans="2:17" x14ac:dyDescent="0.25">
      <c r="B33" s="517" t="s">
        <v>1178</v>
      </c>
      <c r="C33" s="353"/>
      <c r="D33" s="353">
        <v>108.98</v>
      </c>
      <c r="E33" s="358"/>
      <c r="F33" s="525"/>
      <c r="G33" s="363"/>
      <c r="H33" s="363"/>
      <c r="I33" s="363"/>
      <c r="J33" s="365"/>
      <c r="K33" s="4"/>
      <c r="L33" s="4"/>
      <c r="M33" s="4"/>
      <c r="N33" s="4"/>
      <c r="O33" s="4"/>
      <c r="P33" s="4"/>
      <c r="Q33" s="4"/>
    </row>
    <row r="34" spans="2:17" s="4" customFormat="1" x14ac:dyDescent="0.25">
      <c r="B34" s="378" t="s">
        <v>794</v>
      </c>
      <c r="C34" s="379"/>
      <c r="D34" s="379">
        <f>+D31-D32-D33</f>
        <v>0.85999993803444852</v>
      </c>
      <c r="F34" s="275"/>
    </row>
    <row r="35" spans="2:17" s="4" customFormat="1" x14ac:dyDescent="0.25">
      <c r="B35" s="521"/>
      <c r="C35" s="370"/>
      <c r="D35" s="371"/>
      <c r="F35" s="275"/>
    </row>
    <row r="36" spans="2:17" s="4" customFormat="1" x14ac:dyDescent="0.25">
      <c r="B36" s="372"/>
      <c r="C36" s="373"/>
      <c r="D36" s="372"/>
      <c r="F36" s="275"/>
    </row>
    <row r="37" spans="2:17" x14ac:dyDescent="0.25">
      <c r="B37" s="78"/>
      <c r="C37" s="361"/>
    </row>
    <row r="38" spans="2:17" x14ac:dyDescent="0.25">
      <c r="C38" s="361"/>
    </row>
    <row r="39" spans="2:17" x14ac:dyDescent="0.25">
      <c r="B39" s="78"/>
      <c r="C39" s="361"/>
    </row>
  </sheetData>
  <mergeCells count="6">
    <mergeCell ref="G28:L28"/>
    <mergeCell ref="B1:D1"/>
    <mergeCell ref="B2:D2"/>
    <mergeCell ref="B3:D3"/>
    <mergeCell ref="F6:K6"/>
    <mergeCell ref="F7:K7"/>
  </mergeCells>
  <pageMargins left="0.7" right="0.7" top="0.75" bottom="0.75" header="0.3" footer="0.3"/>
  <pageSetup orientation="portrait" r:id="rId1"/>
  <ignoredErrors>
    <ignoredError sqref="C7:C9" numberStoredAsText="1"/>
  </ignoredError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2C13B-58D3-4F77-8596-B635A32E30B0}">
  <sheetPr>
    <pageSetUpPr fitToPage="1"/>
  </sheetPr>
  <dimension ref="A2:T379"/>
  <sheetViews>
    <sheetView showGridLines="0" zoomScale="110" zoomScaleNormal="110" workbookViewId="0">
      <pane ySplit="6" topLeftCell="A196" activePane="bottomLeft" state="frozen"/>
      <selection pane="bottomLeft" activeCell="T372" sqref="T372"/>
    </sheetView>
  </sheetViews>
  <sheetFormatPr baseColWidth="10" defaultColWidth="11.42578125" defaultRowHeight="12" customHeight="1" x14ac:dyDescent="0.2"/>
  <cols>
    <col min="1" max="1" width="2.28515625" style="21" customWidth="1"/>
    <col min="2" max="2" width="4.7109375" style="21" customWidth="1"/>
    <col min="3" max="3" width="5.28515625" style="21" customWidth="1"/>
    <col min="4" max="4" width="5.7109375" style="21" customWidth="1"/>
    <col min="5" max="5" width="25.85546875" style="21" customWidth="1"/>
    <col min="6" max="6" width="11.5703125" style="115" customWidth="1"/>
    <col min="7" max="7" width="12.85546875" style="83" customWidth="1"/>
    <col min="8" max="8" width="13.28515625" style="83" customWidth="1"/>
    <col min="9" max="9" width="12.85546875" style="116" hidden="1" customWidth="1"/>
    <col min="10" max="10" width="8" style="24" hidden="1" customWidth="1"/>
    <col min="11" max="11" width="8.42578125" style="25" hidden="1" customWidth="1"/>
    <col min="12" max="12" width="52" style="21" hidden="1" customWidth="1"/>
    <col min="13" max="13" width="12" style="259" hidden="1" customWidth="1"/>
    <col min="14" max="14" width="14" style="219" hidden="1" customWidth="1"/>
    <col min="15" max="15" width="13.140625" style="219" hidden="1" customWidth="1"/>
    <col min="16" max="16" width="0.7109375" style="259" hidden="1" customWidth="1"/>
    <col min="17" max="17" width="13.5703125" style="176" bestFit="1" customWidth="1"/>
    <col min="18" max="16384" width="11.42578125" style="21"/>
  </cols>
  <sheetData>
    <row r="2" spans="1:17" s="16" customFormat="1" x14ac:dyDescent="0.2">
      <c r="A2" s="591" t="s">
        <v>1181</v>
      </c>
      <c r="B2" s="592"/>
      <c r="C2" s="592"/>
      <c r="D2" s="592"/>
      <c r="E2" s="592"/>
      <c r="F2" s="592"/>
      <c r="G2" s="592"/>
      <c r="H2" s="592"/>
      <c r="I2" s="592"/>
      <c r="J2" s="592"/>
      <c r="K2" s="592"/>
      <c r="L2" s="592"/>
      <c r="M2" s="592"/>
      <c r="N2" s="592"/>
      <c r="O2" s="592"/>
      <c r="P2" s="593"/>
      <c r="Q2" s="79"/>
    </row>
    <row r="3" spans="1:17" s="16" customFormat="1" x14ac:dyDescent="0.2">
      <c r="A3" s="594" t="s">
        <v>191</v>
      </c>
      <c r="B3" s="595"/>
      <c r="C3" s="595"/>
      <c r="D3" s="595"/>
      <c r="E3" s="595"/>
      <c r="F3" s="595"/>
      <c r="G3" s="595"/>
      <c r="H3" s="595"/>
      <c r="I3" s="595"/>
      <c r="J3" s="595"/>
      <c r="K3" s="595"/>
      <c r="L3" s="595"/>
      <c r="M3" s="595"/>
      <c r="N3" s="595"/>
      <c r="O3" s="595"/>
      <c r="P3" s="596"/>
      <c r="Q3" s="79"/>
    </row>
    <row r="4" spans="1:17" s="16" customFormat="1" x14ac:dyDescent="0.2">
      <c r="A4" s="594" t="s">
        <v>709</v>
      </c>
      <c r="B4" s="595"/>
      <c r="C4" s="595"/>
      <c r="D4" s="595"/>
      <c r="E4" s="595"/>
      <c r="F4" s="595"/>
      <c r="G4" s="595"/>
      <c r="H4" s="595"/>
      <c r="I4" s="595"/>
      <c r="J4" s="595"/>
      <c r="K4" s="595"/>
      <c r="L4" s="595"/>
      <c r="M4" s="595"/>
      <c r="N4" s="595"/>
      <c r="O4" s="595"/>
      <c r="P4" s="596"/>
      <c r="Q4" s="79"/>
    </row>
    <row r="5" spans="1:17" s="16" customFormat="1" ht="15" customHeight="1" x14ac:dyDescent="0.2">
      <c r="A5" s="539"/>
      <c r="B5" s="540"/>
      <c r="C5" s="540"/>
      <c r="D5" s="540"/>
      <c r="E5" s="540"/>
      <c r="F5" s="541"/>
      <c r="G5" s="542"/>
      <c r="H5" s="542"/>
      <c r="I5" s="542"/>
      <c r="J5" s="543"/>
      <c r="K5" s="544"/>
      <c r="L5" s="540"/>
      <c r="M5" s="545"/>
      <c r="N5" s="545"/>
      <c r="O5" s="545"/>
      <c r="P5" s="546"/>
      <c r="Q5" s="79"/>
    </row>
    <row r="6" spans="1:17" ht="64.5" customHeight="1" x14ac:dyDescent="0.2">
      <c r="A6" s="597" t="s">
        <v>191</v>
      </c>
      <c r="B6" s="597"/>
      <c r="C6" s="597"/>
      <c r="D6" s="597"/>
      <c r="E6" s="597"/>
      <c r="F6" s="84" t="s">
        <v>192</v>
      </c>
      <c r="G6" s="84" t="s">
        <v>193</v>
      </c>
      <c r="H6" s="84" t="s">
        <v>194</v>
      </c>
      <c r="I6" s="84" t="s">
        <v>195</v>
      </c>
      <c r="J6" s="19" t="s">
        <v>196</v>
      </c>
      <c r="K6" s="20" t="s">
        <v>197</v>
      </c>
      <c r="L6" s="461" t="s">
        <v>198</v>
      </c>
      <c r="M6" s="220" t="s">
        <v>192</v>
      </c>
      <c r="N6" s="220" t="s">
        <v>193</v>
      </c>
      <c r="O6" s="220" t="s">
        <v>194</v>
      </c>
      <c r="P6" s="220" t="s">
        <v>195</v>
      </c>
    </row>
    <row r="7" spans="1:17" ht="12" customHeight="1" x14ac:dyDescent="0.2">
      <c r="A7" s="22"/>
      <c r="B7" s="16"/>
      <c r="C7" s="16"/>
      <c r="D7" s="16"/>
      <c r="E7" s="23"/>
      <c r="F7" s="85"/>
      <c r="G7" s="86"/>
      <c r="H7" s="86"/>
      <c r="I7" s="87"/>
      <c r="J7" s="31"/>
      <c r="K7" s="32"/>
      <c r="L7" s="16"/>
      <c r="M7" s="221"/>
      <c r="N7" s="222"/>
      <c r="O7" s="222"/>
      <c r="P7" s="223"/>
    </row>
    <row r="8" spans="1:17" s="30" customFormat="1" ht="12" customHeight="1" x14ac:dyDescent="0.2">
      <c r="A8" s="26" t="s">
        <v>199</v>
      </c>
      <c r="B8" s="27" t="s">
        <v>200</v>
      </c>
      <c r="C8" s="27"/>
      <c r="D8" s="27"/>
      <c r="E8" s="28"/>
      <c r="F8" s="88">
        <f>+G8+H8+I8</f>
        <v>308917032.87</v>
      </c>
      <c r="G8" s="89">
        <f>+G10+G166+G196</f>
        <v>163429242.14999998</v>
      </c>
      <c r="H8" s="89">
        <f t="shared" ref="H8:I8" si="0">+H10+H166+H196</f>
        <v>145487790.72</v>
      </c>
      <c r="I8" s="89">
        <f t="shared" si="0"/>
        <v>0</v>
      </c>
      <c r="J8" s="17"/>
      <c r="K8" s="29"/>
      <c r="L8" s="27"/>
      <c r="M8" s="221"/>
      <c r="N8" s="224"/>
      <c r="O8" s="224"/>
      <c r="P8" s="225"/>
      <c r="Q8" s="226"/>
    </row>
    <row r="9" spans="1:17" ht="12" customHeight="1" x14ac:dyDescent="0.2">
      <c r="A9" s="22"/>
      <c r="B9" s="16"/>
      <c r="C9" s="16"/>
      <c r="D9" s="16"/>
      <c r="E9" s="23"/>
      <c r="F9" s="85"/>
      <c r="G9" s="86"/>
      <c r="H9" s="86"/>
      <c r="I9" s="86"/>
      <c r="J9" s="31"/>
      <c r="K9" s="32"/>
      <c r="L9" s="16"/>
      <c r="M9" s="221"/>
      <c r="N9" s="222"/>
      <c r="O9" s="222"/>
      <c r="P9" s="223"/>
    </row>
    <row r="10" spans="1:17" ht="12" customHeight="1" x14ac:dyDescent="0.2">
      <c r="A10" s="22"/>
      <c r="B10" s="33" t="s">
        <v>201</v>
      </c>
      <c r="C10" s="27" t="s">
        <v>202</v>
      </c>
      <c r="D10" s="27"/>
      <c r="E10" s="28"/>
      <c r="F10" s="88">
        <f>+G10+H10+I10</f>
        <v>222217939.32999998</v>
      </c>
      <c r="G10" s="89">
        <f>+G12+G50</f>
        <v>94635594.450000003</v>
      </c>
      <c r="H10" s="89">
        <f t="shared" ref="H10:I10" si="1">+H12+H50</f>
        <v>127582344.88</v>
      </c>
      <c r="I10" s="89">
        <f t="shared" si="1"/>
        <v>0</v>
      </c>
      <c r="J10" s="31"/>
      <c r="K10" s="32"/>
      <c r="L10" s="16"/>
      <c r="M10" s="221"/>
      <c r="N10" s="222"/>
      <c r="O10" s="222"/>
      <c r="P10" s="223"/>
    </row>
    <row r="11" spans="1:17" ht="12" customHeight="1" x14ac:dyDescent="0.2">
      <c r="A11" s="22"/>
      <c r="B11" s="16"/>
      <c r="C11" s="16"/>
      <c r="D11" s="16"/>
      <c r="E11" s="23"/>
      <c r="F11" s="85"/>
      <c r="G11" s="86"/>
      <c r="H11" s="86"/>
      <c r="I11" s="86"/>
      <c r="J11" s="31"/>
      <c r="K11" s="32"/>
      <c r="L11" s="16"/>
      <c r="M11" s="221"/>
      <c r="N11" s="222"/>
      <c r="O11" s="222"/>
      <c r="P11" s="223"/>
    </row>
    <row r="12" spans="1:17" ht="12" customHeight="1" x14ac:dyDescent="0.2">
      <c r="A12" s="22"/>
      <c r="B12" s="16"/>
      <c r="C12" s="33" t="s">
        <v>203</v>
      </c>
      <c r="D12" s="27" t="s">
        <v>204</v>
      </c>
      <c r="E12" s="28"/>
      <c r="F12" s="90">
        <f>+G12+H12+I12</f>
        <v>206105543.78</v>
      </c>
      <c r="G12" s="91">
        <f>+G14+G36</f>
        <v>94635593.450000003</v>
      </c>
      <c r="H12" s="91">
        <f t="shared" ref="H12:I12" si="2">+H14+H36</f>
        <v>111469950.33</v>
      </c>
      <c r="I12" s="91">
        <f t="shared" si="2"/>
        <v>0</v>
      </c>
      <c r="J12" s="33" t="s">
        <v>203</v>
      </c>
      <c r="K12" s="33">
        <v>0</v>
      </c>
      <c r="L12" s="34" t="s">
        <v>204</v>
      </c>
      <c r="M12" s="227">
        <f>+M15+M21+M27+M37+M43</f>
        <v>206105543.78000003</v>
      </c>
      <c r="N12" s="228">
        <f t="shared" ref="N12:P12" si="3">+N15+N21+N27+N37+N43</f>
        <v>94635593.450000003</v>
      </c>
      <c r="O12" s="228">
        <f>+O15+O21+O27+O37+O43</f>
        <v>111469950.33000001</v>
      </c>
      <c r="P12" s="229">
        <f t="shared" si="3"/>
        <v>0</v>
      </c>
    </row>
    <row r="13" spans="1:17" ht="12" customHeight="1" x14ac:dyDescent="0.2">
      <c r="A13" s="22"/>
      <c r="B13" s="16"/>
      <c r="C13" s="16"/>
      <c r="D13" s="16"/>
      <c r="E13" s="23"/>
      <c r="F13" s="85"/>
      <c r="G13" s="86"/>
      <c r="H13" s="86"/>
      <c r="I13" s="86"/>
      <c r="J13" s="31"/>
      <c r="K13" s="32"/>
      <c r="L13" s="16"/>
      <c r="M13" s="221"/>
      <c r="N13" s="222"/>
      <c r="O13" s="222"/>
      <c r="P13" s="223"/>
    </row>
    <row r="14" spans="1:17" ht="12" customHeight="1" x14ac:dyDescent="0.2">
      <c r="A14" s="22"/>
      <c r="B14" s="16"/>
      <c r="C14" s="16"/>
      <c r="D14" s="35" t="s">
        <v>205</v>
      </c>
      <c r="E14" s="23" t="s">
        <v>206</v>
      </c>
      <c r="F14" s="85">
        <f>+G14+H14+I14</f>
        <v>157057115.61000001</v>
      </c>
      <c r="G14" s="92">
        <f>+N15+N21+N27+N33</f>
        <v>72403756.170000002</v>
      </c>
      <c r="H14" s="92">
        <f>+O15+O21+O27+O33</f>
        <v>84653359.439999998</v>
      </c>
      <c r="I14" s="92">
        <f>+P15+P21+P27+P33</f>
        <v>0</v>
      </c>
      <c r="J14" s="31"/>
      <c r="K14" s="32"/>
      <c r="L14" s="16"/>
      <c r="M14" s="221"/>
      <c r="N14" s="222"/>
      <c r="O14" s="222"/>
      <c r="P14" s="223"/>
    </row>
    <row r="15" spans="1:17" ht="12" customHeight="1" x14ac:dyDescent="0.2">
      <c r="A15" s="22"/>
      <c r="B15" s="16"/>
      <c r="C15" s="16"/>
      <c r="D15" s="36"/>
      <c r="E15" s="37"/>
      <c r="F15" s="88"/>
      <c r="G15" s="89"/>
      <c r="H15" s="89"/>
      <c r="I15" s="89"/>
      <c r="J15" s="33" t="s">
        <v>205</v>
      </c>
      <c r="K15" s="33" t="s">
        <v>207</v>
      </c>
      <c r="L15" s="34" t="s">
        <v>208</v>
      </c>
      <c r="M15" s="227">
        <f>SUM(M16:M20)</f>
        <v>84372958</v>
      </c>
      <c r="N15" s="228">
        <f t="shared" ref="N15:P15" si="4">SUM(N16:N20)</f>
        <v>35070100</v>
      </c>
      <c r="O15" s="228">
        <f>SUM(O16:O20)</f>
        <v>49302858</v>
      </c>
      <c r="P15" s="229">
        <f t="shared" si="4"/>
        <v>0</v>
      </c>
    </row>
    <row r="16" spans="1:17" ht="12" hidden="1" customHeight="1" x14ac:dyDescent="0.2">
      <c r="A16" s="22"/>
      <c r="B16" s="16"/>
      <c r="C16" s="16"/>
      <c r="D16" s="36"/>
      <c r="E16" s="37"/>
      <c r="F16" s="85"/>
      <c r="G16" s="92"/>
      <c r="H16" s="92"/>
      <c r="I16" s="92"/>
      <c r="J16" s="35" t="s">
        <v>205</v>
      </c>
      <c r="K16" s="35" t="s">
        <v>22</v>
      </c>
      <c r="L16" s="16" t="s">
        <v>209</v>
      </c>
      <c r="M16" s="221">
        <f>+N16+O16</f>
        <v>84372958</v>
      </c>
      <c r="N16" s="222">
        <v>35070100</v>
      </c>
      <c r="O16" s="222">
        <v>49302858</v>
      </c>
      <c r="P16" s="223"/>
    </row>
    <row r="17" spans="1:16" ht="12" hidden="1" customHeight="1" x14ac:dyDescent="0.2">
      <c r="A17" s="22"/>
      <c r="B17" s="16"/>
      <c r="C17" s="16"/>
      <c r="D17" s="36"/>
      <c r="E17" s="37"/>
      <c r="F17" s="85"/>
      <c r="G17" s="92"/>
      <c r="H17" s="92"/>
      <c r="I17" s="92"/>
      <c r="J17" s="35" t="s">
        <v>205</v>
      </c>
      <c r="K17" s="35" t="s">
        <v>210</v>
      </c>
      <c r="L17" s="16" t="s">
        <v>211</v>
      </c>
      <c r="M17" s="221">
        <f t="shared" ref="M17:M33" si="5">SUM(N17:P17)</f>
        <v>0</v>
      </c>
      <c r="N17" s="222"/>
      <c r="O17" s="222"/>
      <c r="P17" s="223"/>
    </row>
    <row r="18" spans="1:16" ht="12" hidden="1" customHeight="1" x14ac:dyDescent="0.2">
      <c r="A18" s="22"/>
      <c r="B18" s="16"/>
      <c r="C18" s="16"/>
      <c r="D18" s="36"/>
      <c r="E18" s="37"/>
      <c r="F18" s="85"/>
      <c r="G18" s="92"/>
      <c r="H18" s="92"/>
      <c r="I18" s="92"/>
      <c r="J18" s="35" t="s">
        <v>205</v>
      </c>
      <c r="K18" s="35" t="s">
        <v>212</v>
      </c>
      <c r="L18" s="16" t="s">
        <v>213</v>
      </c>
      <c r="M18" s="221">
        <f t="shared" si="5"/>
        <v>0</v>
      </c>
      <c r="N18" s="222"/>
      <c r="O18" s="222"/>
      <c r="P18" s="223"/>
    </row>
    <row r="19" spans="1:16" ht="12" hidden="1" customHeight="1" x14ac:dyDescent="0.2">
      <c r="A19" s="22"/>
      <c r="B19" s="16"/>
      <c r="C19" s="16"/>
      <c r="D19" s="36"/>
      <c r="E19" s="37"/>
      <c r="F19" s="85"/>
      <c r="G19" s="92"/>
      <c r="H19" s="92"/>
      <c r="I19" s="92"/>
      <c r="J19" s="35" t="s">
        <v>205</v>
      </c>
      <c r="K19" s="35" t="s">
        <v>214</v>
      </c>
      <c r="L19" s="16" t="s">
        <v>215</v>
      </c>
      <c r="M19" s="221">
        <f t="shared" si="5"/>
        <v>0</v>
      </c>
      <c r="N19" s="222"/>
      <c r="O19" s="222"/>
      <c r="P19" s="223"/>
    </row>
    <row r="20" spans="1:16" ht="12" hidden="1" customHeight="1" x14ac:dyDescent="0.2">
      <c r="A20" s="22"/>
      <c r="B20" s="16"/>
      <c r="C20" s="16"/>
      <c r="D20" s="36"/>
      <c r="E20" s="37"/>
      <c r="F20" s="85"/>
      <c r="G20" s="92"/>
      <c r="H20" s="92"/>
      <c r="I20" s="92"/>
      <c r="J20" s="35" t="s">
        <v>205</v>
      </c>
      <c r="K20" s="35" t="s">
        <v>23</v>
      </c>
      <c r="L20" s="16" t="s">
        <v>216</v>
      </c>
      <c r="M20" s="221">
        <f t="shared" si="5"/>
        <v>0</v>
      </c>
      <c r="N20" s="222">
        <v>0</v>
      </c>
      <c r="O20" s="222">
        <v>0</v>
      </c>
      <c r="P20" s="223"/>
    </row>
    <row r="21" spans="1:16" ht="12" hidden="1" customHeight="1" x14ac:dyDescent="0.2">
      <c r="A21" s="22"/>
      <c r="B21" s="16"/>
      <c r="C21" s="16"/>
      <c r="D21" s="36"/>
      <c r="E21" s="37"/>
      <c r="F21" s="88"/>
      <c r="G21" s="89"/>
      <c r="H21" s="89"/>
      <c r="I21" s="89"/>
      <c r="J21" s="33" t="s">
        <v>205</v>
      </c>
      <c r="K21" s="33" t="s">
        <v>217</v>
      </c>
      <c r="L21" s="34" t="s">
        <v>24</v>
      </c>
      <c r="M21" s="227">
        <f>SUM(N21:P21)</f>
        <v>1391290.5</v>
      </c>
      <c r="N21" s="228">
        <f t="shared" ref="N21:P21" si="6">SUM(N22:N26)</f>
        <v>0</v>
      </c>
      <c r="O21" s="228">
        <f>SUM(O22:O26)</f>
        <v>1391290.5</v>
      </c>
      <c r="P21" s="229">
        <f t="shared" si="6"/>
        <v>0</v>
      </c>
    </row>
    <row r="22" spans="1:16" ht="12" hidden="1" customHeight="1" x14ac:dyDescent="0.2">
      <c r="A22" s="22"/>
      <c r="B22" s="16"/>
      <c r="C22" s="16"/>
      <c r="D22" s="36"/>
      <c r="E22" s="37"/>
      <c r="F22" s="85"/>
      <c r="G22" s="92"/>
      <c r="H22" s="92"/>
      <c r="I22" s="92"/>
      <c r="J22" s="35" t="s">
        <v>205</v>
      </c>
      <c r="K22" s="35" t="s">
        <v>218</v>
      </c>
      <c r="L22" s="16" t="s">
        <v>219</v>
      </c>
      <c r="M22" s="221">
        <f>SUM(N22:O22)</f>
        <v>98012.1</v>
      </c>
      <c r="N22" s="222">
        <v>0</v>
      </c>
      <c r="O22" s="222">
        <v>98012.1</v>
      </c>
      <c r="P22" s="223"/>
    </row>
    <row r="23" spans="1:16" ht="12" hidden="1" customHeight="1" x14ac:dyDescent="0.2">
      <c r="A23" s="22"/>
      <c r="B23" s="16"/>
      <c r="C23" s="16"/>
      <c r="D23" s="36"/>
      <c r="E23" s="37"/>
      <c r="F23" s="85"/>
      <c r="G23" s="92"/>
      <c r="H23" s="92"/>
      <c r="I23" s="92"/>
      <c r="J23" s="35" t="s">
        <v>205</v>
      </c>
      <c r="K23" s="35" t="s">
        <v>220</v>
      </c>
      <c r="L23" s="16" t="s">
        <v>221</v>
      </c>
      <c r="M23" s="221">
        <f t="shared" ref="M23:M25" si="7">SUM(N23:O23)</f>
        <v>0</v>
      </c>
      <c r="N23" s="222">
        <v>0</v>
      </c>
      <c r="O23" s="222">
        <v>0</v>
      </c>
      <c r="P23" s="223"/>
    </row>
    <row r="24" spans="1:16" ht="12" hidden="1" customHeight="1" x14ac:dyDescent="0.2">
      <c r="A24" s="22"/>
      <c r="B24" s="16"/>
      <c r="C24" s="16"/>
      <c r="D24" s="36"/>
      <c r="E24" s="37"/>
      <c r="F24" s="85"/>
      <c r="G24" s="92"/>
      <c r="H24" s="92"/>
      <c r="I24" s="92"/>
      <c r="J24" s="35" t="s">
        <v>205</v>
      </c>
      <c r="K24" s="35" t="s">
        <v>222</v>
      </c>
      <c r="L24" s="16" t="s">
        <v>223</v>
      </c>
      <c r="M24" s="221">
        <f t="shared" si="7"/>
        <v>0</v>
      </c>
      <c r="N24" s="222">
        <v>0</v>
      </c>
      <c r="O24" s="222">
        <v>0</v>
      </c>
      <c r="P24" s="223"/>
    </row>
    <row r="25" spans="1:16" ht="12" hidden="1" customHeight="1" x14ac:dyDescent="0.2">
      <c r="A25" s="22"/>
      <c r="B25" s="16"/>
      <c r="C25" s="16"/>
      <c r="D25" s="36"/>
      <c r="E25" s="37"/>
      <c r="F25" s="85"/>
      <c r="G25" s="92"/>
      <c r="H25" s="92"/>
      <c r="I25" s="92"/>
      <c r="J25" s="35" t="s">
        <v>205</v>
      </c>
      <c r="K25" s="35" t="s">
        <v>224</v>
      </c>
      <c r="L25" s="16" t="s">
        <v>225</v>
      </c>
      <c r="M25" s="221">
        <f t="shared" si="7"/>
        <v>0</v>
      </c>
      <c r="N25" s="222">
        <v>0</v>
      </c>
      <c r="O25" s="222">
        <v>0</v>
      </c>
      <c r="P25" s="223"/>
    </row>
    <row r="26" spans="1:16" ht="12" hidden="1" customHeight="1" x14ac:dyDescent="0.2">
      <c r="A26" s="22"/>
      <c r="B26" s="16"/>
      <c r="C26" s="16"/>
      <c r="D26" s="36"/>
      <c r="E26" s="37"/>
      <c r="F26" s="85"/>
      <c r="G26" s="92"/>
      <c r="H26" s="92"/>
      <c r="I26" s="92"/>
      <c r="J26" s="35" t="s">
        <v>205</v>
      </c>
      <c r="K26" s="35" t="s">
        <v>25</v>
      </c>
      <c r="L26" s="16" t="s">
        <v>26</v>
      </c>
      <c r="M26" s="221">
        <f>+N26+O26</f>
        <v>1293278.3999999999</v>
      </c>
      <c r="N26" s="222">
        <v>0</v>
      </c>
      <c r="O26" s="222">
        <v>1293278.3999999999</v>
      </c>
      <c r="P26" s="223"/>
    </row>
    <row r="27" spans="1:16" ht="12" hidden="1" customHeight="1" x14ac:dyDescent="0.2">
      <c r="A27" s="22"/>
      <c r="B27" s="16"/>
      <c r="C27" s="16"/>
      <c r="D27" s="36"/>
      <c r="E27" s="37"/>
      <c r="F27" s="88"/>
      <c r="G27" s="89"/>
      <c r="H27" s="89"/>
      <c r="I27" s="89"/>
      <c r="J27" s="33" t="s">
        <v>205</v>
      </c>
      <c r="K27" s="33" t="s">
        <v>27</v>
      </c>
      <c r="L27" s="34" t="s">
        <v>28</v>
      </c>
      <c r="M27" s="227">
        <f>SUM(N27:P27)</f>
        <v>71292867.109999999</v>
      </c>
      <c r="N27" s="228">
        <f t="shared" ref="N27:P27" si="8">SUM(N28:N32)</f>
        <v>37333656.170000002</v>
      </c>
      <c r="O27" s="228">
        <f>SUM(O28:O32)</f>
        <v>33959210.939999998</v>
      </c>
      <c r="P27" s="229">
        <f t="shared" si="8"/>
        <v>0</v>
      </c>
    </row>
    <row r="28" spans="1:16" ht="12" hidden="1" customHeight="1" x14ac:dyDescent="0.2">
      <c r="A28" s="22"/>
      <c r="B28" s="16"/>
      <c r="C28" s="16"/>
      <c r="D28" s="36"/>
      <c r="E28" s="37"/>
      <c r="F28" s="85"/>
      <c r="G28" s="92"/>
      <c r="H28" s="92"/>
      <c r="I28" s="92"/>
      <c r="J28" s="35" t="s">
        <v>205</v>
      </c>
      <c r="K28" s="35" t="s">
        <v>29</v>
      </c>
      <c r="L28" s="16" t="s">
        <v>30</v>
      </c>
      <c r="M28" s="221">
        <f>SUM(N28:O28)</f>
        <v>30205519.009999998</v>
      </c>
      <c r="N28" s="222">
        <v>15490615.67</v>
      </c>
      <c r="O28" s="222">
        <v>14714903.34</v>
      </c>
      <c r="P28" s="223"/>
    </row>
    <row r="29" spans="1:16" ht="12" hidden="1" customHeight="1" x14ac:dyDescent="0.2">
      <c r="A29" s="22"/>
      <c r="B29" s="16"/>
      <c r="C29" s="16"/>
      <c r="D29" s="36"/>
      <c r="E29" s="37"/>
      <c r="F29" s="85"/>
      <c r="G29" s="92"/>
      <c r="H29" s="92"/>
      <c r="I29" s="92"/>
      <c r="J29" s="35" t="s">
        <v>205</v>
      </c>
      <c r="K29" s="35" t="s">
        <v>31</v>
      </c>
      <c r="L29" s="16" t="s">
        <v>32</v>
      </c>
      <c r="M29" s="221">
        <f t="shared" ref="M29:M32" si="9">SUM(N29:O29)</f>
        <v>31480359.579999998</v>
      </c>
      <c r="N29" s="222">
        <v>16493535</v>
      </c>
      <c r="O29" s="222">
        <v>14986824.58</v>
      </c>
      <c r="P29" s="223"/>
    </row>
    <row r="30" spans="1:16" ht="12" hidden="1" customHeight="1" x14ac:dyDescent="0.2">
      <c r="A30" s="22"/>
      <c r="B30" s="16"/>
      <c r="C30" s="16"/>
      <c r="D30" s="36"/>
      <c r="E30" s="37"/>
      <c r="F30" s="85"/>
      <c r="G30" s="92"/>
      <c r="H30" s="92"/>
      <c r="I30" s="92"/>
      <c r="J30" s="35" t="s">
        <v>205</v>
      </c>
      <c r="K30" s="35" t="s">
        <v>33</v>
      </c>
      <c r="L30" s="16" t="s">
        <v>34</v>
      </c>
      <c r="M30" s="221">
        <f t="shared" si="9"/>
        <v>0</v>
      </c>
      <c r="N30" s="222">
        <v>0</v>
      </c>
      <c r="O30" s="222">
        <v>0</v>
      </c>
      <c r="P30" s="223"/>
    </row>
    <row r="31" spans="1:16" ht="12" hidden="1" customHeight="1" x14ac:dyDescent="0.2">
      <c r="A31" s="22"/>
      <c r="B31" s="16"/>
      <c r="C31" s="16"/>
      <c r="D31" s="36"/>
      <c r="E31" s="37"/>
      <c r="F31" s="85"/>
      <c r="G31" s="92"/>
      <c r="H31" s="92"/>
      <c r="I31" s="92"/>
      <c r="J31" s="35" t="s">
        <v>205</v>
      </c>
      <c r="K31" s="35" t="s">
        <v>35</v>
      </c>
      <c r="L31" s="16" t="s">
        <v>36</v>
      </c>
      <c r="M31" s="221">
        <f t="shared" si="9"/>
        <v>0</v>
      </c>
      <c r="N31" s="222">
        <v>0</v>
      </c>
      <c r="O31" s="222">
        <v>0</v>
      </c>
      <c r="P31" s="223"/>
    </row>
    <row r="32" spans="1:16" ht="12" hidden="1" customHeight="1" x14ac:dyDescent="0.2">
      <c r="A32" s="22"/>
      <c r="B32" s="16"/>
      <c r="C32" s="16"/>
      <c r="D32" s="36"/>
      <c r="E32" s="37"/>
      <c r="F32" s="85"/>
      <c r="G32" s="92"/>
      <c r="H32" s="92"/>
      <c r="I32" s="92"/>
      <c r="J32" s="35" t="s">
        <v>205</v>
      </c>
      <c r="K32" s="35" t="s">
        <v>37</v>
      </c>
      <c r="L32" s="16" t="s">
        <v>38</v>
      </c>
      <c r="M32" s="221">
        <f t="shared" si="9"/>
        <v>9606988.5199999996</v>
      </c>
      <c r="N32" s="222">
        <v>5349505.5</v>
      </c>
      <c r="O32" s="222">
        <v>4257483.0199999996</v>
      </c>
      <c r="P32" s="223"/>
    </row>
    <row r="33" spans="1:18" ht="12" hidden="1" customHeight="1" x14ac:dyDescent="0.2">
      <c r="A33" s="22"/>
      <c r="B33" s="16"/>
      <c r="C33" s="16"/>
      <c r="D33" s="36"/>
      <c r="E33" s="37"/>
      <c r="F33" s="88"/>
      <c r="G33" s="89"/>
      <c r="H33" s="89"/>
      <c r="I33" s="89"/>
      <c r="J33" s="33" t="s">
        <v>205</v>
      </c>
      <c r="K33" s="33" t="s">
        <v>226</v>
      </c>
      <c r="L33" s="34" t="s">
        <v>227</v>
      </c>
      <c r="M33" s="227">
        <f t="shared" si="5"/>
        <v>0</v>
      </c>
      <c r="N33" s="228">
        <f t="shared" ref="N33:P33" si="10">SUM(N34:N35)</f>
        <v>0</v>
      </c>
      <c r="O33" s="228">
        <f t="shared" si="10"/>
        <v>0</v>
      </c>
      <c r="P33" s="229">
        <f t="shared" si="10"/>
        <v>0</v>
      </c>
    </row>
    <row r="34" spans="1:18" ht="12" hidden="1" customHeight="1" x14ac:dyDescent="0.2">
      <c r="A34" s="22"/>
      <c r="B34" s="16"/>
      <c r="C34" s="16"/>
      <c r="D34" s="36"/>
      <c r="E34" s="37"/>
      <c r="F34" s="85"/>
      <c r="G34" s="86"/>
      <c r="H34" s="86"/>
      <c r="I34" s="86"/>
      <c r="J34" s="35" t="s">
        <v>205</v>
      </c>
      <c r="K34" s="35" t="s">
        <v>228</v>
      </c>
      <c r="L34" s="16" t="s">
        <v>229</v>
      </c>
      <c r="M34" s="221"/>
      <c r="N34" s="222"/>
      <c r="O34" s="222"/>
      <c r="P34" s="223"/>
    </row>
    <row r="35" spans="1:18" ht="12" hidden="1" customHeight="1" x14ac:dyDescent="0.2">
      <c r="A35" s="22"/>
      <c r="B35" s="16"/>
      <c r="C35" s="16"/>
      <c r="D35" s="36"/>
      <c r="E35" s="37"/>
      <c r="F35" s="85"/>
      <c r="G35" s="86"/>
      <c r="H35" s="86"/>
      <c r="I35" s="86"/>
      <c r="J35" s="35" t="s">
        <v>205</v>
      </c>
      <c r="K35" s="35" t="s">
        <v>230</v>
      </c>
      <c r="L35" s="16" t="s">
        <v>231</v>
      </c>
      <c r="M35" s="221"/>
      <c r="N35" s="222"/>
      <c r="O35" s="222"/>
      <c r="P35" s="223"/>
    </row>
    <row r="36" spans="1:18" ht="12" customHeight="1" x14ac:dyDescent="0.2">
      <c r="A36" s="22"/>
      <c r="B36" s="16"/>
      <c r="C36" s="16"/>
      <c r="D36" s="35" t="s">
        <v>232</v>
      </c>
      <c r="E36" s="23" t="s">
        <v>233</v>
      </c>
      <c r="F36" s="85">
        <f>+G36+H36+I36</f>
        <v>49048428.170000002</v>
      </c>
      <c r="G36" s="86">
        <f>+N37+N43</f>
        <v>22231837.280000001</v>
      </c>
      <c r="H36" s="86">
        <f>+O37+O43</f>
        <v>26816590.890000001</v>
      </c>
      <c r="I36" s="86">
        <f>+P37+P43</f>
        <v>0</v>
      </c>
      <c r="J36" s="31" t="s">
        <v>175</v>
      </c>
      <c r="K36" s="32"/>
      <c r="L36" s="32"/>
      <c r="M36" s="221"/>
      <c r="N36" s="222"/>
      <c r="O36" s="222"/>
      <c r="P36" s="223"/>
    </row>
    <row r="37" spans="1:18" s="43" customFormat="1" ht="22.5" x14ac:dyDescent="0.2">
      <c r="A37" s="38"/>
      <c r="B37" s="39"/>
      <c r="C37" s="39"/>
      <c r="D37" s="39"/>
      <c r="E37" s="40"/>
      <c r="F37" s="93"/>
      <c r="G37" s="94"/>
      <c r="H37" s="94"/>
      <c r="I37" s="94"/>
      <c r="J37" s="41" t="s">
        <v>232</v>
      </c>
      <c r="K37" s="41" t="s">
        <v>39</v>
      </c>
      <c r="L37" s="42" t="s">
        <v>40</v>
      </c>
      <c r="M37" s="230">
        <f>SUM(M38:M42)</f>
        <v>25691254.370000001</v>
      </c>
      <c r="N37" s="231">
        <f t="shared" ref="N37:P37" si="11">SUM(N38:N42)</f>
        <v>11639460.689999999</v>
      </c>
      <c r="O37" s="231">
        <f>SUM(O38:O42)</f>
        <v>14051793.68</v>
      </c>
      <c r="P37" s="232">
        <f t="shared" si="11"/>
        <v>0</v>
      </c>
      <c r="Q37" s="535"/>
      <c r="R37" s="39"/>
    </row>
    <row r="38" spans="1:18" s="43" customFormat="1" ht="22.5" hidden="1" x14ac:dyDescent="0.25">
      <c r="A38" s="38"/>
      <c r="B38" s="39"/>
      <c r="C38" s="39"/>
      <c r="D38" s="39"/>
      <c r="E38" s="40"/>
      <c r="F38" s="95"/>
      <c r="G38" s="96"/>
      <c r="H38" s="96"/>
      <c r="I38" s="96"/>
      <c r="J38" s="44" t="s">
        <v>232</v>
      </c>
      <c r="K38" s="44" t="s">
        <v>41</v>
      </c>
      <c r="L38" s="45" t="s">
        <v>234</v>
      </c>
      <c r="M38" s="234">
        <f>SUM(N38:O38)</f>
        <v>14624252.190000001</v>
      </c>
      <c r="N38" s="235">
        <v>6625538.96</v>
      </c>
      <c r="O38" s="235">
        <v>7998713.2300000004</v>
      </c>
      <c r="P38" s="236"/>
      <c r="Q38" s="233"/>
    </row>
    <row r="39" spans="1:18" ht="12" hidden="1" customHeight="1" x14ac:dyDescent="0.2">
      <c r="A39" s="22"/>
      <c r="B39" s="16"/>
      <c r="C39" s="16"/>
      <c r="D39" s="16"/>
      <c r="E39" s="46"/>
      <c r="F39" s="85"/>
      <c r="G39" s="92"/>
      <c r="H39" s="92"/>
      <c r="I39" s="92"/>
      <c r="J39" s="31" t="s">
        <v>232</v>
      </c>
      <c r="K39" s="31" t="s">
        <v>235</v>
      </c>
      <c r="L39" s="16" t="s">
        <v>236</v>
      </c>
      <c r="M39" s="234">
        <f t="shared" ref="M39:M42" si="12">SUM(N39:O39)</f>
        <v>0</v>
      </c>
      <c r="N39" s="222"/>
      <c r="O39" s="222"/>
      <c r="P39" s="236"/>
    </row>
    <row r="40" spans="1:18" ht="12" hidden="1" customHeight="1" x14ac:dyDescent="0.2">
      <c r="A40" s="22"/>
      <c r="B40" s="16"/>
      <c r="C40" s="16"/>
      <c r="D40" s="16"/>
      <c r="E40" s="46"/>
      <c r="F40" s="85"/>
      <c r="G40" s="92"/>
      <c r="H40" s="92"/>
      <c r="I40" s="92"/>
      <c r="J40" s="31" t="s">
        <v>232</v>
      </c>
      <c r="K40" s="31" t="s">
        <v>42</v>
      </c>
      <c r="L40" s="16" t="s">
        <v>237</v>
      </c>
      <c r="M40" s="234">
        <f t="shared" si="12"/>
        <v>2371500.5</v>
      </c>
      <c r="N40" s="222">
        <v>1074411.83</v>
      </c>
      <c r="O40" s="222">
        <v>1297088.67</v>
      </c>
      <c r="P40" s="236"/>
    </row>
    <row r="41" spans="1:18" s="43" customFormat="1" ht="22.5" hidden="1" x14ac:dyDescent="0.25">
      <c r="A41" s="38"/>
      <c r="B41" s="39"/>
      <c r="C41" s="39"/>
      <c r="D41" s="39"/>
      <c r="E41" s="40"/>
      <c r="F41" s="95"/>
      <c r="G41" s="96"/>
      <c r="H41" s="96"/>
      <c r="I41" s="96"/>
      <c r="J41" s="44" t="s">
        <v>232</v>
      </c>
      <c r="K41" s="44" t="s">
        <v>43</v>
      </c>
      <c r="L41" s="45" t="s">
        <v>238</v>
      </c>
      <c r="M41" s="234">
        <f t="shared" si="12"/>
        <v>7905001.4800000004</v>
      </c>
      <c r="N41" s="235">
        <v>3581372.64</v>
      </c>
      <c r="O41" s="235">
        <v>4323628.84</v>
      </c>
      <c r="P41" s="236"/>
      <c r="Q41" s="233"/>
    </row>
    <row r="42" spans="1:18" ht="12" hidden="1" customHeight="1" x14ac:dyDescent="0.2">
      <c r="A42" s="22"/>
      <c r="B42" s="16"/>
      <c r="C42" s="16"/>
      <c r="D42" s="16"/>
      <c r="E42" s="46"/>
      <c r="F42" s="85"/>
      <c r="G42" s="92"/>
      <c r="H42" s="92"/>
      <c r="I42" s="86"/>
      <c r="J42" s="31" t="s">
        <v>232</v>
      </c>
      <c r="K42" s="31" t="s">
        <v>44</v>
      </c>
      <c r="L42" s="16" t="s">
        <v>239</v>
      </c>
      <c r="M42" s="234">
        <f t="shared" si="12"/>
        <v>790500.2</v>
      </c>
      <c r="N42" s="222">
        <v>358137.26</v>
      </c>
      <c r="O42" s="222">
        <v>432362.94</v>
      </c>
      <c r="P42" s="236"/>
    </row>
    <row r="43" spans="1:18" s="43" customFormat="1" ht="22.5" hidden="1" x14ac:dyDescent="0.25">
      <c r="A43" s="38"/>
      <c r="B43" s="39"/>
      <c r="C43" s="39"/>
      <c r="D43" s="39"/>
      <c r="E43" s="40"/>
      <c r="F43" s="93"/>
      <c r="G43" s="94"/>
      <c r="H43" s="94"/>
      <c r="I43" s="94"/>
      <c r="J43" s="41" t="s">
        <v>232</v>
      </c>
      <c r="K43" s="41" t="s">
        <v>45</v>
      </c>
      <c r="L43" s="42" t="s">
        <v>240</v>
      </c>
      <c r="M43" s="230">
        <f>SUM(M44:M48)</f>
        <v>23357173.800000001</v>
      </c>
      <c r="N43" s="231">
        <f t="shared" ref="N43:P43" si="13">SUM(N44:N48)</f>
        <v>10592376.59</v>
      </c>
      <c r="O43" s="231">
        <f>SUM(O44:O48)</f>
        <v>12764797.210000001</v>
      </c>
      <c r="P43" s="232">
        <f t="shared" si="13"/>
        <v>0</v>
      </c>
      <c r="Q43" s="233"/>
    </row>
    <row r="44" spans="1:18" s="43" customFormat="1" ht="22.5" hidden="1" x14ac:dyDescent="0.25">
      <c r="A44" s="38"/>
      <c r="B44" s="39"/>
      <c r="C44" s="39"/>
      <c r="D44" s="39"/>
      <c r="E44" s="40"/>
      <c r="F44" s="95"/>
      <c r="G44" s="96"/>
      <c r="H44" s="96"/>
      <c r="I44" s="96"/>
      <c r="J44" s="44" t="s">
        <v>232</v>
      </c>
      <c r="K44" s="44" t="s">
        <v>46</v>
      </c>
      <c r="L44" s="45" t="s">
        <v>241</v>
      </c>
      <c r="M44" s="234">
        <f>SUM(N44:O44)</f>
        <v>8300251.3600000003</v>
      </c>
      <c r="N44" s="235">
        <v>3760441.08</v>
      </c>
      <c r="O44" s="235">
        <v>4539810.28</v>
      </c>
      <c r="P44" s="236"/>
      <c r="Q44" s="233"/>
    </row>
    <row r="45" spans="1:18" ht="12" hidden="1" customHeight="1" x14ac:dyDescent="0.2">
      <c r="A45" s="22"/>
      <c r="B45" s="16"/>
      <c r="C45" s="16"/>
      <c r="D45" s="16"/>
      <c r="E45" s="46"/>
      <c r="F45" s="85"/>
      <c r="G45" s="92"/>
      <c r="H45" s="92"/>
      <c r="I45" s="92"/>
      <c r="J45" s="31" t="s">
        <v>232</v>
      </c>
      <c r="K45" s="31" t="s">
        <v>47</v>
      </c>
      <c r="L45" s="16" t="s">
        <v>242</v>
      </c>
      <c r="M45" s="234">
        <f t="shared" ref="M45:M48" si="14">SUM(N45:O45)</f>
        <v>4743000.9399999995</v>
      </c>
      <c r="N45" s="222">
        <v>2148823.5499999998</v>
      </c>
      <c r="O45" s="222">
        <v>2594177.39</v>
      </c>
      <c r="P45" s="236"/>
    </row>
    <row r="46" spans="1:18" ht="12" hidden="1" customHeight="1" x14ac:dyDescent="0.2">
      <c r="A46" s="22"/>
      <c r="B46" s="16"/>
      <c r="C46" s="16"/>
      <c r="D46" s="16"/>
      <c r="E46" s="46"/>
      <c r="F46" s="85"/>
      <c r="G46" s="92"/>
      <c r="H46" s="92"/>
      <c r="I46" s="92"/>
      <c r="J46" s="31" t="s">
        <v>232</v>
      </c>
      <c r="K46" s="31" t="s">
        <v>48</v>
      </c>
      <c r="L46" s="16" t="s">
        <v>243</v>
      </c>
      <c r="M46" s="234">
        <f t="shared" si="14"/>
        <v>2371500.5</v>
      </c>
      <c r="N46" s="222">
        <v>1074411.83</v>
      </c>
      <c r="O46" s="222">
        <v>1297088.67</v>
      </c>
      <c r="P46" s="236"/>
    </row>
    <row r="47" spans="1:18" ht="12" hidden="1" customHeight="1" x14ac:dyDescent="0.2">
      <c r="A47" s="22"/>
      <c r="B47" s="16"/>
      <c r="C47" s="16"/>
      <c r="D47" s="16"/>
      <c r="E47" s="23"/>
      <c r="F47" s="85"/>
      <c r="G47" s="92"/>
      <c r="H47" s="92"/>
      <c r="I47" s="92"/>
      <c r="J47" s="31" t="s">
        <v>232</v>
      </c>
      <c r="K47" s="31" t="s">
        <v>244</v>
      </c>
      <c r="L47" s="16" t="s">
        <v>245</v>
      </c>
      <c r="M47" s="234">
        <f t="shared" si="14"/>
        <v>0</v>
      </c>
      <c r="N47" s="222"/>
      <c r="O47" s="222"/>
      <c r="P47" s="236"/>
    </row>
    <row r="48" spans="1:18" ht="12" hidden="1" customHeight="1" x14ac:dyDescent="0.2">
      <c r="A48" s="22"/>
      <c r="B48" s="16"/>
      <c r="C48" s="16"/>
      <c r="D48" s="16"/>
      <c r="E48" s="23"/>
      <c r="F48" s="85"/>
      <c r="G48" s="92"/>
      <c r="H48" s="92"/>
      <c r="I48" s="92"/>
      <c r="J48" s="31" t="s">
        <v>232</v>
      </c>
      <c r="K48" s="31" t="s">
        <v>49</v>
      </c>
      <c r="L48" s="16" t="s">
        <v>246</v>
      </c>
      <c r="M48" s="234">
        <f t="shared" si="14"/>
        <v>7942421</v>
      </c>
      <c r="N48" s="222">
        <v>3608700.13</v>
      </c>
      <c r="O48" s="222">
        <v>4333720.87</v>
      </c>
      <c r="P48" s="236"/>
    </row>
    <row r="49" spans="1:18" ht="12" customHeight="1" x14ac:dyDescent="0.2">
      <c r="A49" s="22"/>
      <c r="B49" s="16"/>
      <c r="C49" s="16"/>
      <c r="D49" s="16"/>
      <c r="E49" s="28"/>
      <c r="F49" s="85"/>
      <c r="G49" s="86"/>
      <c r="H49" s="86"/>
      <c r="I49" s="86"/>
      <c r="J49" s="35" t="s">
        <v>175</v>
      </c>
      <c r="K49" s="32"/>
      <c r="L49" s="16"/>
      <c r="M49" s="221"/>
      <c r="N49" s="222"/>
      <c r="O49" s="222"/>
      <c r="P49" s="223"/>
    </row>
    <row r="50" spans="1:18" ht="12" customHeight="1" x14ac:dyDescent="0.2">
      <c r="A50" s="22"/>
      <c r="B50" s="16"/>
      <c r="C50" s="33" t="s">
        <v>247</v>
      </c>
      <c r="D50" s="27" t="s">
        <v>248</v>
      </c>
      <c r="E50" s="28"/>
      <c r="F50" s="90">
        <f>+G50+H50+I50</f>
        <v>16112395.550000001</v>
      </c>
      <c r="G50" s="91">
        <f>+N52+N58+N64+N72+N81+N86+N90+N94+N105+N115+N121+N126+N134+N137+N142</f>
        <v>1</v>
      </c>
      <c r="H50" s="91">
        <f>+O52+O58+O64+O72+O81+O86++O90+O94+O105+O113+O121+O126+O134+O137+O142+O156+O163</f>
        <v>16112394.550000001</v>
      </c>
      <c r="I50" s="89">
        <f>+P52+P58+P64+P72+P81+P86+P94+P105+P115+P121+P126+P134+P137+P142+P156+P163</f>
        <v>0</v>
      </c>
      <c r="J50" s="33" t="s">
        <v>247</v>
      </c>
      <c r="K50" s="33">
        <v>1</v>
      </c>
      <c r="L50" s="34" t="s">
        <v>249</v>
      </c>
      <c r="M50" s="227">
        <f>+M52+M58+M64+M72+M81+M86+M90+M94+M105+M208</f>
        <v>16060388.550000001</v>
      </c>
      <c r="N50" s="228">
        <f t="shared" ref="N50:P50" si="15">+N52+N58+N64+N72+N81+N86+N90+N94+N105+N208</f>
        <v>1</v>
      </c>
      <c r="O50" s="228">
        <f>+O52+O58+O64+O72+O81+O86+O90+O94+O105+O208</f>
        <v>16060387.550000001</v>
      </c>
      <c r="P50" s="229">
        <f t="shared" si="15"/>
        <v>0</v>
      </c>
    </row>
    <row r="51" spans="1:18" ht="12" customHeight="1" x14ac:dyDescent="0.2">
      <c r="A51" s="22"/>
      <c r="B51" s="16"/>
      <c r="C51" s="16"/>
      <c r="D51" s="16" t="s">
        <v>175</v>
      </c>
      <c r="E51" s="23"/>
      <c r="F51" s="85"/>
      <c r="G51" s="86"/>
      <c r="H51" s="86"/>
      <c r="I51" s="86"/>
      <c r="J51" s="35" t="s">
        <v>175</v>
      </c>
      <c r="K51" s="33"/>
      <c r="L51" s="27"/>
      <c r="M51" s="221"/>
      <c r="N51" s="222"/>
      <c r="O51" s="222"/>
      <c r="P51" s="223"/>
    </row>
    <row r="52" spans="1:18" ht="12" hidden="1" customHeight="1" x14ac:dyDescent="0.2">
      <c r="A52" s="22"/>
      <c r="B52" s="16"/>
      <c r="C52" s="16"/>
      <c r="D52" s="16"/>
      <c r="E52" s="23"/>
      <c r="F52" s="88"/>
      <c r="G52" s="89"/>
      <c r="H52" s="89"/>
      <c r="I52" s="89"/>
      <c r="J52" s="33" t="s">
        <v>247</v>
      </c>
      <c r="K52" s="33" t="s">
        <v>250</v>
      </c>
      <c r="L52" s="34" t="s">
        <v>251</v>
      </c>
      <c r="M52" s="227">
        <f>SUM(N52:P52)</f>
        <v>29282.82</v>
      </c>
      <c r="N52" s="228">
        <f>SUM(N53:N57)</f>
        <v>0</v>
      </c>
      <c r="O52" s="228">
        <f t="shared" ref="O52:P52" si="16">SUM(O53:O57)</f>
        <v>29282.82</v>
      </c>
      <c r="P52" s="229">
        <f t="shared" si="16"/>
        <v>0</v>
      </c>
    </row>
    <row r="53" spans="1:18" ht="12" hidden="1" customHeight="1" x14ac:dyDescent="0.2">
      <c r="A53" s="22"/>
      <c r="B53" s="16"/>
      <c r="C53" s="16"/>
      <c r="D53" s="16"/>
      <c r="E53" s="23"/>
      <c r="F53" s="85"/>
      <c r="G53" s="92"/>
      <c r="H53" s="92"/>
      <c r="I53" s="92"/>
      <c r="J53" s="35" t="s">
        <v>247</v>
      </c>
      <c r="K53" s="35" t="s">
        <v>252</v>
      </c>
      <c r="L53" s="16" t="s">
        <v>253</v>
      </c>
      <c r="M53" s="221">
        <f>SUM(N53:P53)</f>
        <v>0</v>
      </c>
      <c r="N53" s="222"/>
      <c r="O53" s="222"/>
      <c r="P53" s="223"/>
    </row>
    <row r="54" spans="1:18" ht="12" hidden="1" customHeight="1" x14ac:dyDescent="0.2">
      <c r="A54" s="22"/>
      <c r="B54" s="16"/>
      <c r="C54" s="16"/>
      <c r="D54" s="16"/>
      <c r="E54" s="23"/>
      <c r="F54" s="85"/>
      <c r="G54" s="92"/>
      <c r="H54" s="92"/>
      <c r="I54" s="92"/>
      <c r="J54" s="35" t="s">
        <v>247</v>
      </c>
      <c r="K54" s="35" t="s">
        <v>254</v>
      </c>
      <c r="L54" s="16" t="s">
        <v>255</v>
      </c>
      <c r="M54" s="221">
        <f t="shared" ref="M54:M56" si="17">SUM(N54:P54)</f>
        <v>0</v>
      </c>
      <c r="N54" s="222"/>
      <c r="O54" s="222"/>
      <c r="P54" s="223"/>
    </row>
    <row r="55" spans="1:18" ht="12" hidden="1" customHeight="1" x14ac:dyDescent="0.2">
      <c r="A55" s="22"/>
      <c r="B55" s="16"/>
      <c r="C55" s="16"/>
      <c r="D55" s="16"/>
      <c r="E55" s="23"/>
      <c r="F55" s="85"/>
      <c r="G55" s="92"/>
      <c r="H55" s="92"/>
      <c r="I55" s="92"/>
      <c r="J55" s="35" t="s">
        <v>247</v>
      </c>
      <c r="K55" s="35" t="s">
        <v>256</v>
      </c>
      <c r="L55" s="16" t="s">
        <v>257</v>
      </c>
      <c r="M55" s="221">
        <f t="shared" si="17"/>
        <v>0</v>
      </c>
      <c r="N55" s="222"/>
      <c r="O55" s="222"/>
      <c r="P55" s="223"/>
    </row>
    <row r="56" spans="1:18" ht="12" hidden="1" customHeight="1" x14ac:dyDescent="0.2">
      <c r="A56" s="22"/>
      <c r="B56" s="16"/>
      <c r="C56" s="16"/>
      <c r="D56" s="16"/>
      <c r="E56" s="23"/>
      <c r="F56" s="85"/>
      <c r="G56" s="92"/>
      <c r="H56" s="92"/>
      <c r="I56" s="92"/>
      <c r="J56" s="35" t="s">
        <v>247</v>
      </c>
      <c r="K56" s="35" t="s">
        <v>258</v>
      </c>
      <c r="L56" s="16" t="s">
        <v>259</v>
      </c>
      <c r="M56" s="221">
        <f t="shared" si="17"/>
        <v>0</v>
      </c>
      <c r="N56" s="222"/>
      <c r="O56" s="222"/>
      <c r="P56" s="223"/>
    </row>
    <row r="57" spans="1:18" ht="12" hidden="1" customHeight="1" x14ac:dyDescent="0.2">
      <c r="A57" s="22"/>
      <c r="B57" s="16"/>
      <c r="C57" s="16"/>
      <c r="D57" s="16"/>
      <c r="E57" s="23"/>
      <c r="F57" s="85"/>
      <c r="G57" s="92"/>
      <c r="H57" s="92"/>
      <c r="I57" s="92"/>
      <c r="J57" s="35" t="s">
        <v>247</v>
      </c>
      <c r="K57" s="35" t="s">
        <v>50</v>
      </c>
      <c r="L57" s="16" t="s">
        <v>51</v>
      </c>
      <c r="M57" s="221"/>
      <c r="N57" s="222">
        <v>0</v>
      </c>
      <c r="O57" s="222">
        <v>29282.82</v>
      </c>
      <c r="P57" s="223"/>
      <c r="Q57" s="79"/>
      <c r="R57" s="16"/>
    </row>
    <row r="58" spans="1:18" ht="12" hidden="1" customHeight="1" x14ac:dyDescent="0.2">
      <c r="A58" s="22"/>
      <c r="B58" s="16"/>
      <c r="C58" s="16"/>
      <c r="D58" s="16"/>
      <c r="E58" s="23"/>
      <c r="F58" s="88"/>
      <c r="G58" s="89"/>
      <c r="H58" s="89"/>
      <c r="I58" s="89"/>
      <c r="J58" s="33" t="s">
        <v>247</v>
      </c>
      <c r="K58" s="33" t="s">
        <v>52</v>
      </c>
      <c r="L58" s="34" t="s">
        <v>260</v>
      </c>
      <c r="M58" s="227">
        <f>SUM(N58:P58)</f>
        <v>3355780.95</v>
      </c>
      <c r="N58" s="228">
        <f>SUM(N59:N63)</f>
        <v>0</v>
      </c>
      <c r="O58" s="228">
        <f>SUM(O59:O63)</f>
        <v>3355780.95</v>
      </c>
      <c r="P58" s="229">
        <f t="shared" ref="P58" si="18">SUM(P59:P63)</f>
        <v>0</v>
      </c>
    </row>
    <row r="59" spans="1:18" ht="12" hidden="1" customHeight="1" x14ac:dyDescent="0.2">
      <c r="A59" s="22"/>
      <c r="B59" s="16"/>
      <c r="C59" s="16"/>
      <c r="D59" s="16"/>
      <c r="E59" s="23"/>
      <c r="F59" s="85"/>
      <c r="G59" s="92"/>
      <c r="H59" s="92"/>
      <c r="I59" s="92"/>
      <c r="J59" s="35" t="s">
        <v>247</v>
      </c>
      <c r="K59" s="35" t="s">
        <v>53</v>
      </c>
      <c r="L59" s="16" t="s">
        <v>261</v>
      </c>
      <c r="M59" s="221">
        <f>SUM(N59:O59)</f>
        <v>10196</v>
      </c>
      <c r="N59" s="222">
        <v>0</v>
      </c>
      <c r="O59" s="222">
        <v>10196</v>
      </c>
      <c r="P59" s="223"/>
    </row>
    <row r="60" spans="1:18" ht="12" hidden="1" customHeight="1" x14ac:dyDescent="0.2">
      <c r="A60" s="22"/>
      <c r="B60" s="16"/>
      <c r="C60" s="16"/>
      <c r="D60" s="16"/>
      <c r="E60" s="23"/>
      <c r="F60" s="85"/>
      <c r="G60" s="92"/>
      <c r="H60" s="92"/>
      <c r="I60" s="92"/>
      <c r="J60" s="35" t="s">
        <v>247</v>
      </c>
      <c r="K60" s="35" t="s">
        <v>54</v>
      </c>
      <c r="L60" s="16" t="s">
        <v>55</v>
      </c>
      <c r="M60" s="221">
        <f>SUM(N60:O60)</f>
        <v>1114565</v>
      </c>
      <c r="N60" s="222">
        <v>0</v>
      </c>
      <c r="O60" s="222">
        <v>1114565</v>
      </c>
      <c r="P60" s="223"/>
    </row>
    <row r="61" spans="1:18" ht="12" hidden="1" customHeight="1" x14ac:dyDescent="0.2">
      <c r="A61" s="22"/>
      <c r="B61" s="16"/>
      <c r="C61" s="16"/>
      <c r="D61" s="16"/>
      <c r="E61" s="23"/>
      <c r="F61" s="85"/>
      <c r="G61" s="92"/>
      <c r="H61" s="92"/>
      <c r="I61" s="92"/>
      <c r="J61" s="35" t="s">
        <v>247</v>
      </c>
      <c r="K61" s="35" t="s">
        <v>56</v>
      </c>
      <c r="L61" s="16" t="s">
        <v>57</v>
      </c>
      <c r="M61" s="221">
        <f t="shared" ref="M61:M63" si="19">SUM(N61:O61)</f>
        <v>0</v>
      </c>
      <c r="N61" s="222">
        <v>0</v>
      </c>
      <c r="O61" s="222">
        <v>0</v>
      </c>
      <c r="P61" s="223"/>
    </row>
    <row r="62" spans="1:18" ht="12" hidden="1" customHeight="1" x14ac:dyDescent="0.2">
      <c r="A62" s="22"/>
      <c r="B62" s="16"/>
      <c r="C62" s="16"/>
      <c r="D62" s="16"/>
      <c r="E62" s="23"/>
      <c r="F62" s="85"/>
      <c r="G62" s="92"/>
      <c r="H62" s="92"/>
      <c r="I62" s="92"/>
      <c r="J62" s="35" t="s">
        <v>247</v>
      </c>
      <c r="K62" s="35" t="s">
        <v>58</v>
      </c>
      <c r="L62" s="16" t="s">
        <v>59</v>
      </c>
      <c r="M62" s="221">
        <f t="shared" si="19"/>
        <v>2008321.25</v>
      </c>
      <c r="N62" s="222">
        <v>0</v>
      </c>
      <c r="O62" s="222">
        <v>2008321.25</v>
      </c>
      <c r="P62" s="223"/>
    </row>
    <row r="63" spans="1:18" ht="12" hidden="1" customHeight="1" x14ac:dyDescent="0.2">
      <c r="A63" s="22"/>
      <c r="B63" s="16"/>
      <c r="C63" s="16"/>
      <c r="D63" s="16"/>
      <c r="E63" s="23"/>
      <c r="F63" s="85"/>
      <c r="G63" s="92"/>
      <c r="H63" s="92"/>
      <c r="I63" s="92"/>
      <c r="J63" s="35" t="s">
        <v>247</v>
      </c>
      <c r="K63" s="35" t="s">
        <v>60</v>
      </c>
      <c r="L63" s="16" t="s">
        <v>262</v>
      </c>
      <c r="M63" s="221">
        <f t="shared" si="19"/>
        <v>222698.7</v>
      </c>
      <c r="N63" s="222">
        <v>0</v>
      </c>
      <c r="O63" s="222">
        <v>222698.7</v>
      </c>
      <c r="P63" s="223"/>
    </row>
    <row r="64" spans="1:18" ht="12" hidden="1" customHeight="1" x14ac:dyDescent="0.2">
      <c r="A64" s="22"/>
      <c r="B64" s="16"/>
      <c r="C64" s="16"/>
      <c r="D64" s="16"/>
      <c r="E64" s="23"/>
      <c r="F64" s="88"/>
      <c r="G64" s="89"/>
      <c r="H64" s="89"/>
      <c r="I64" s="89"/>
      <c r="J64" s="33" t="s">
        <v>247</v>
      </c>
      <c r="K64" s="33" t="s">
        <v>61</v>
      </c>
      <c r="L64" s="34" t="s">
        <v>62</v>
      </c>
      <c r="M64" s="227">
        <f>SUM(N64:P64)</f>
        <v>692343.8899999999</v>
      </c>
      <c r="N64" s="228">
        <f>SUM(N65:N71)</f>
        <v>1</v>
      </c>
      <c r="O64" s="228">
        <f>SUM(O65:O71)</f>
        <v>692342.8899999999</v>
      </c>
      <c r="P64" s="229">
        <f t="shared" ref="P64" si="20">SUM(P65:P71)</f>
        <v>0</v>
      </c>
    </row>
    <row r="65" spans="1:16" ht="12" hidden="1" customHeight="1" x14ac:dyDescent="0.2">
      <c r="A65" s="22"/>
      <c r="B65" s="16"/>
      <c r="C65" s="16"/>
      <c r="D65" s="16"/>
      <c r="E65" s="23"/>
      <c r="F65" s="85"/>
      <c r="G65" s="92"/>
      <c r="H65" s="92"/>
      <c r="I65" s="92"/>
      <c r="J65" s="35" t="s">
        <v>247</v>
      </c>
      <c r="K65" s="35" t="s">
        <v>63</v>
      </c>
      <c r="L65" s="16" t="s">
        <v>263</v>
      </c>
      <c r="M65" s="221">
        <f t="shared" ref="M65" si="21">SUM(N65:P65)</f>
        <v>0</v>
      </c>
      <c r="N65" s="222">
        <v>0</v>
      </c>
      <c r="O65" s="222">
        <v>0</v>
      </c>
      <c r="P65" s="223"/>
    </row>
    <row r="66" spans="1:16" ht="12" hidden="1" customHeight="1" x14ac:dyDescent="0.2">
      <c r="A66" s="22"/>
      <c r="B66" s="16"/>
      <c r="C66" s="16"/>
      <c r="D66" s="16"/>
      <c r="E66" s="23"/>
      <c r="F66" s="85"/>
      <c r="G66" s="92"/>
      <c r="H66" s="92"/>
      <c r="I66" s="92"/>
      <c r="J66" s="35" t="s">
        <v>247</v>
      </c>
      <c r="K66" s="35" t="s">
        <v>264</v>
      </c>
      <c r="L66" s="16" t="s">
        <v>265</v>
      </c>
      <c r="M66" s="221"/>
      <c r="N66" s="222"/>
      <c r="O66" s="222"/>
      <c r="P66" s="223"/>
    </row>
    <row r="67" spans="1:16" ht="12" hidden="1" customHeight="1" x14ac:dyDescent="0.2">
      <c r="A67" s="22"/>
      <c r="B67" s="16"/>
      <c r="C67" s="16"/>
      <c r="D67" s="16"/>
      <c r="E67" s="23"/>
      <c r="F67" s="85"/>
      <c r="G67" s="92"/>
      <c r="H67" s="92"/>
      <c r="I67" s="92"/>
      <c r="J67" s="35" t="s">
        <v>247</v>
      </c>
      <c r="K67" s="35" t="s">
        <v>64</v>
      </c>
      <c r="L67" s="16" t="s">
        <v>65</v>
      </c>
      <c r="M67" s="221"/>
      <c r="N67" s="222"/>
      <c r="O67" s="222"/>
      <c r="P67" s="223"/>
    </row>
    <row r="68" spans="1:16" ht="12" hidden="1" customHeight="1" x14ac:dyDescent="0.2">
      <c r="A68" s="22"/>
      <c r="B68" s="16"/>
      <c r="C68" s="16"/>
      <c r="D68" s="16"/>
      <c r="E68" s="23"/>
      <c r="F68" s="85"/>
      <c r="G68" s="92"/>
      <c r="H68" s="92"/>
      <c r="I68" s="92"/>
      <c r="J68" s="35" t="s">
        <v>247</v>
      </c>
      <c r="K68" s="35" t="s">
        <v>266</v>
      </c>
      <c r="L68" s="16" t="s">
        <v>267</v>
      </c>
      <c r="M68" s="221"/>
      <c r="N68" s="222"/>
      <c r="O68" s="222"/>
      <c r="P68" s="223"/>
    </row>
    <row r="69" spans="1:16" ht="12" hidden="1" customHeight="1" x14ac:dyDescent="0.2">
      <c r="A69" s="22"/>
      <c r="B69" s="16"/>
      <c r="C69" s="16"/>
      <c r="D69" s="16"/>
      <c r="E69" s="23"/>
      <c r="F69" s="85"/>
      <c r="G69" s="92"/>
      <c r="H69" s="92"/>
      <c r="I69" s="92"/>
      <c r="J69" s="35" t="s">
        <v>247</v>
      </c>
      <c r="K69" s="35" t="s">
        <v>268</v>
      </c>
      <c r="L69" s="16" t="s">
        <v>269</v>
      </c>
      <c r="M69" s="221"/>
      <c r="N69" s="222"/>
      <c r="O69" s="222"/>
      <c r="P69" s="223"/>
    </row>
    <row r="70" spans="1:16" ht="12" hidden="1" customHeight="1" x14ac:dyDescent="0.2">
      <c r="A70" s="22"/>
      <c r="B70" s="16"/>
      <c r="C70" s="16"/>
      <c r="D70" s="16"/>
      <c r="E70" s="23"/>
      <c r="F70" s="85"/>
      <c r="G70" s="92"/>
      <c r="H70" s="92"/>
      <c r="I70" s="92"/>
      <c r="J70" s="35" t="s">
        <v>247</v>
      </c>
      <c r="K70" s="35" t="s">
        <v>66</v>
      </c>
      <c r="L70" s="32" t="s">
        <v>270</v>
      </c>
      <c r="M70" s="221">
        <f>SUM(N70:O70)</f>
        <v>667192.06999999995</v>
      </c>
      <c r="N70" s="222">
        <v>0</v>
      </c>
      <c r="O70" s="222">
        <v>667192.06999999995</v>
      </c>
      <c r="P70" s="223"/>
    </row>
    <row r="71" spans="1:16" ht="12" hidden="1" customHeight="1" x14ac:dyDescent="0.2">
      <c r="A71" s="22"/>
      <c r="B71" s="16"/>
      <c r="C71" s="16"/>
      <c r="D71" s="16"/>
      <c r="E71" s="23"/>
      <c r="F71" s="85"/>
      <c r="G71" s="92"/>
      <c r="H71" s="92"/>
      <c r="I71" s="92"/>
      <c r="J71" s="35" t="s">
        <v>247</v>
      </c>
      <c r="K71" s="35" t="s">
        <v>67</v>
      </c>
      <c r="L71" s="16" t="s">
        <v>178</v>
      </c>
      <c r="M71" s="221">
        <f>SUM(N71:O71)</f>
        <v>25151.82</v>
      </c>
      <c r="N71" s="222">
        <v>1</v>
      </c>
      <c r="O71" s="222">
        <v>25150.82</v>
      </c>
      <c r="P71" s="223"/>
    </row>
    <row r="72" spans="1:16" ht="12" hidden="1" customHeight="1" x14ac:dyDescent="0.2">
      <c r="A72" s="22"/>
      <c r="B72" s="16"/>
      <c r="C72" s="16"/>
      <c r="D72" s="16"/>
      <c r="E72" s="23"/>
      <c r="F72" s="88"/>
      <c r="G72" s="89"/>
      <c r="H72" s="89"/>
      <c r="I72" s="89"/>
      <c r="J72" s="33" t="s">
        <v>247</v>
      </c>
      <c r="K72" s="33" t="s">
        <v>69</v>
      </c>
      <c r="L72" s="34" t="s">
        <v>271</v>
      </c>
      <c r="M72" s="227">
        <f>SUM(N72:P72)</f>
        <v>9974025.75</v>
      </c>
      <c r="N72" s="228">
        <f t="shared" ref="N72:P72" si="22">SUM(N73:N79)</f>
        <v>0</v>
      </c>
      <c r="O72" s="228">
        <f>SUM(O73:O79)</f>
        <v>9974025.75</v>
      </c>
      <c r="P72" s="229">
        <f t="shared" si="22"/>
        <v>0</v>
      </c>
    </row>
    <row r="73" spans="1:16" ht="12" hidden="1" customHeight="1" x14ac:dyDescent="0.2">
      <c r="A73" s="22"/>
      <c r="B73" s="16"/>
      <c r="C73" s="16"/>
      <c r="D73" s="16"/>
      <c r="E73" s="23"/>
      <c r="F73" s="85"/>
      <c r="G73" s="92"/>
      <c r="H73" s="92"/>
      <c r="I73" s="92"/>
      <c r="J73" s="35" t="s">
        <v>247</v>
      </c>
      <c r="K73" s="35" t="s">
        <v>68</v>
      </c>
      <c r="L73" s="16" t="s">
        <v>179</v>
      </c>
      <c r="M73" s="221">
        <f>SUM(N73:O73)</f>
        <v>273349.44</v>
      </c>
      <c r="N73" s="222">
        <v>0</v>
      </c>
      <c r="O73" s="222">
        <v>273349.44</v>
      </c>
      <c r="P73" s="223"/>
    </row>
    <row r="74" spans="1:16" ht="12" hidden="1" customHeight="1" x14ac:dyDescent="0.2">
      <c r="A74" s="22"/>
      <c r="B74" s="16"/>
      <c r="C74" s="16"/>
      <c r="D74" s="16"/>
      <c r="E74" s="23"/>
      <c r="F74" s="85"/>
      <c r="G74" s="92"/>
      <c r="H74" s="92"/>
      <c r="I74" s="92"/>
      <c r="J74" s="35" t="s">
        <v>247</v>
      </c>
      <c r="K74" s="35" t="s">
        <v>272</v>
      </c>
      <c r="L74" s="16" t="s">
        <v>273</v>
      </c>
      <c r="M74" s="221">
        <f t="shared" ref="M74:M78" si="23">SUM(N74:O74)</f>
        <v>0</v>
      </c>
      <c r="N74" s="222"/>
      <c r="O74" s="222"/>
      <c r="P74" s="223"/>
    </row>
    <row r="75" spans="1:16" ht="12" hidden="1" customHeight="1" x14ac:dyDescent="0.2">
      <c r="A75" s="22"/>
      <c r="B75" s="16"/>
      <c r="C75" s="16"/>
      <c r="D75" s="16"/>
      <c r="E75" s="23"/>
      <c r="F75" s="85"/>
      <c r="G75" s="92"/>
      <c r="H75" s="92"/>
      <c r="I75" s="92"/>
      <c r="J75" s="35" t="s">
        <v>247</v>
      </c>
      <c r="K75" s="35" t="s">
        <v>274</v>
      </c>
      <c r="L75" s="16" t="s">
        <v>275</v>
      </c>
      <c r="M75" s="221">
        <f t="shared" si="23"/>
        <v>0</v>
      </c>
      <c r="N75" s="222"/>
      <c r="O75" s="222"/>
      <c r="P75" s="223"/>
    </row>
    <row r="76" spans="1:16" ht="12" hidden="1" customHeight="1" x14ac:dyDescent="0.2">
      <c r="A76" s="22"/>
      <c r="B76" s="16"/>
      <c r="C76" s="16"/>
      <c r="D76" s="16"/>
      <c r="E76" s="23"/>
      <c r="F76" s="85"/>
      <c r="G76" s="92"/>
      <c r="H76" s="92"/>
      <c r="I76" s="92"/>
      <c r="J76" s="35" t="s">
        <v>247</v>
      </c>
      <c r="K76" s="35" t="s">
        <v>70</v>
      </c>
      <c r="L76" s="16" t="s">
        <v>180</v>
      </c>
      <c r="M76" s="221">
        <f t="shared" si="23"/>
        <v>0</v>
      </c>
      <c r="N76" s="222"/>
      <c r="O76" s="222"/>
      <c r="P76" s="223"/>
    </row>
    <row r="77" spans="1:16" ht="12" hidden="1" customHeight="1" x14ac:dyDescent="0.2">
      <c r="A77" s="22"/>
      <c r="B77" s="16"/>
      <c r="C77" s="16"/>
      <c r="D77" s="16"/>
      <c r="E77" s="23"/>
      <c r="F77" s="85"/>
      <c r="G77" s="92"/>
      <c r="H77" s="92"/>
      <c r="I77" s="92"/>
      <c r="J77" s="35" t="s">
        <v>247</v>
      </c>
      <c r="K77" s="35" t="s">
        <v>276</v>
      </c>
      <c r="L77" s="16" t="s">
        <v>277</v>
      </c>
      <c r="M77" s="221">
        <f t="shared" si="23"/>
        <v>0</v>
      </c>
      <c r="N77" s="222"/>
      <c r="O77" s="222"/>
      <c r="P77" s="223"/>
    </row>
    <row r="78" spans="1:16" ht="12" hidden="1" customHeight="1" x14ac:dyDescent="0.2">
      <c r="A78" s="22"/>
      <c r="B78" s="16"/>
      <c r="C78" s="16"/>
      <c r="D78" s="16"/>
      <c r="E78" s="23"/>
      <c r="F78" s="85"/>
      <c r="G78" s="92"/>
      <c r="H78" s="92"/>
      <c r="I78" s="92"/>
      <c r="J78" s="35" t="s">
        <v>247</v>
      </c>
      <c r="K78" s="35" t="s">
        <v>72</v>
      </c>
      <c r="L78" s="16" t="s">
        <v>278</v>
      </c>
      <c r="M78" s="221">
        <f t="shared" si="23"/>
        <v>9700676.3100000005</v>
      </c>
      <c r="N78" s="222">
        <v>0</v>
      </c>
      <c r="O78" s="222">
        <v>9700676.3100000005</v>
      </c>
      <c r="P78" s="223"/>
    </row>
    <row r="79" spans="1:16" ht="12" hidden="1" customHeight="1" x14ac:dyDescent="0.2">
      <c r="A79" s="22"/>
      <c r="B79" s="16"/>
      <c r="C79" s="16"/>
      <c r="D79" s="16"/>
      <c r="E79" s="23"/>
      <c r="F79" s="85"/>
      <c r="G79" s="92"/>
      <c r="H79" s="92"/>
      <c r="I79" s="92"/>
      <c r="J79" s="35" t="s">
        <v>247</v>
      </c>
      <c r="K79" s="35" t="s">
        <v>73</v>
      </c>
      <c r="L79" s="16" t="s">
        <v>279</v>
      </c>
      <c r="M79" s="221">
        <f t="shared" ref="M79" si="24">SUM(N79:P79)</f>
        <v>0</v>
      </c>
      <c r="N79" s="222">
        <v>0</v>
      </c>
      <c r="O79" s="222">
        <v>0</v>
      </c>
      <c r="P79" s="223">
        <v>0</v>
      </c>
    </row>
    <row r="80" spans="1:16" ht="12" hidden="1" customHeight="1" x14ac:dyDescent="0.2">
      <c r="A80" s="22"/>
      <c r="B80" s="16"/>
      <c r="C80" s="16"/>
      <c r="D80" s="16"/>
      <c r="E80" s="23"/>
      <c r="F80" s="85"/>
      <c r="G80" s="86"/>
      <c r="H80" s="86"/>
      <c r="I80" s="86"/>
      <c r="J80" s="35"/>
      <c r="K80" s="35"/>
      <c r="L80" s="16"/>
      <c r="M80" s="221"/>
      <c r="N80" s="222"/>
      <c r="O80" s="222"/>
      <c r="P80" s="223"/>
    </row>
    <row r="81" spans="1:16" ht="12" hidden="1" customHeight="1" x14ac:dyDescent="0.2">
      <c r="A81" s="22"/>
      <c r="B81" s="16"/>
      <c r="C81" s="16"/>
      <c r="D81" s="16"/>
      <c r="E81" s="23"/>
      <c r="F81" s="88"/>
      <c r="G81" s="89"/>
      <c r="H81" s="89"/>
      <c r="I81" s="89"/>
      <c r="J81" s="33" t="s">
        <v>247</v>
      </c>
      <c r="K81" s="33" t="s">
        <v>280</v>
      </c>
      <c r="L81" s="34" t="s">
        <v>74</v>
      </c>
      <c r="M81" s="227">
        <f>SUM(N81:P81)</f>
        <v>0</v>
      </c>
      <c r="N81" s="228">
        <f>SUM(N82:N85)</f>
        <v>0</v>
      </c>
      <c r="O81" s="228">
        <f t="shared" ref="O81:P81" si="25">SUM(O82:O85)</f>
        <v>0</v>
      </c>
      <c r="P81" s="229">
        <f t="shared" si="25"/>
        <v>0</v>
      </c>
    </row>
    <row r="82" spans="1:16" ht="12" hidden="1" customHeight="1" x14ac:dyDescent="0.2">
      <c r="A82" s="22"/>
      <c r="B82" s="16"/>
      <c r="C82" s="16"/>
      <c r="D82" s="16"/>
      <c r="E82" s="23"/>
      <c r="F82" s="85"/>
      <c r="G82" s="92"/>
      <c r="H82" s="92"/>
      <c r="I82" s="92"/>
      <c r="J82" s="35" t="s">
        <v>247</v>
      </c>
      <c r="K82" s="35" t="s">
        <v>75</v>
      </c>
      <c r="L82" s="16" t="s">
        <v>76</v>
      </c>
      <c r="M82" s="221">
        <f>SUM(N82:P82)</f>
        <v>0</v>
      </c>
      <c r="N82" s="222"/>
      <c r="O82" s="222"/>
      <c r="P82" s="223"/>
    </row>
    <row r="83" spans="1:16" ht="11.25" hidden="1" customHeight="1" x14ac:dyDescent="0.2">
      <c r="A83" s="22"/>
      <c r="B83" s="16"/>
      <c r="C83" s="16"/>
      <c r="D83" s="16"/>
      <c r="E83" s="23"/>
      <c r="F83" s="85"/>
      <c r="G83" s="92"/>
      <c r="H83" s="86"/>
      <c r="I83" s="86"/>
      <c r="J83" s="35" t="s">
        <v>247</v>
      </c>
      <c r="K83" s="35" t="s">
        <v>77</v>
      </c>
      <c r="L83" s="16" t="s">
        <v>78</v>
      </c>
      <c r="M83" s="221">
        <f t="shared" ref="M83:M85" si="26">SUM(N83:P83)</f>
        <v>0</v>
      </c>
      <c r="N83" s="222">
        <v>0</v>
      </c>
      <c r="O83" s="222">
        <v>0</v>
      </c>
      <c r="P83" s="223"/>
    </row>
    <row r="84" spans="1:16" ht="12" hidden="1" customHeight="1" x14ac:dyDescent="0.2">
      <c r="A84" s="22"/>
      <c r="B84" s="16"/>
      <c r="C84" s="16"/>
      <c r="D84" s="16"/>
      <c r="E84" s="23"/>
      <c r="F84" s="85"/>
      <c r="G84" s="86"/>
      <c r="H84" s="86"/>
      <c r="I84" s="86"/>
      <c r="J84" s="35" t="s">
        <v>247</v>
      </c>
      <c r="K84" s="35" t="s">
        <v>181</v>
      </c>
      <c r="L84" s="16" t="s">
        <v>182</v>
      </c>
      <c r="M84" s="221">
        <f t="shared" si="26"/>
        <v>0</v>
      </c>
      <c r="N84" s="222"/>
      <c r="O84" s="222"/>
      <c r="P84" s="223"/>
    </row>
    <row r="85" spans="1:16" ht="12" hidden="1" customHeight="1" x14ac:dyDescent="0.2">
      <c r="A85" s="22"/>
      <c r="B85" s="16"/>
      <c r="C85" s="16"/>
      <c r="D85" s="16"/>
      <c r="E85" s="23"/>
      <c r="F85" s="85"/>
      <c r="G85" s="86"/>
      <c r="H85" s="86"/>
      <c r="I85" s="86"/>
      <c r="J85" s="35" t="s">
        <v>247</v>
      </c>
      <c r="K85" s="35" t="s">
        <v>183</v>
      </c>
      <c r="L85" s="16" t="s">
        <v>184</v>
      </c>
      <c r="M85" s="221">
        <f t="shared" si="26"/>
        <v>0</v>
      </c>
      <c r="N85" s="222"/>
      <c r="O85" s="222"/>
      <c r="P85" s="223"/>
    </row>
    <row r="86" spans="1:16" ht="12" hidden="1" customHeight="1" x14ac:dyDescent="0.2">
      <c r="A86" s="22"/>
      <c r="B86" s="16"/>
      <c r="C86" s="16"/>
      <c r="D86" s="16"/>
      <c r="E86" s="23"/>
      <c r="F86" s="88"/>
      <c r="G86" s="89"/>
      <c r="H86" s="89"/>
      <c r="I86" s="89"/>
      <c r="J86" s="33" t="s">
        <v>247</v>
      </c>
      <c r="K86" s="33" t="s">
        <v>281</v>
      </c>
      <c r="L86" s="34" t="s">
        <v>79</v>
      </c>
      <c r="M86" s="227">
        <f>SUM(N86:P86)</f>
        <v>561637</v>
      </c>
      <c r="N86" s="228">
        <f>SUM(N87:N89)</f>
        <v>0</v>
      </c>
      <c r="O86" s="228">
        <f t="shared" ref="O86:P86" si="27">SUM(O87:O89)</f>
        <v>561637</v>
      </c>
      <c r="P86" s="229">
        <f t="shared" si="27"/>
        <v>0</v>
      </c>
    </row>
    <row r="87" spans="1:16" ht="12" hidden="1" customHeight="1" x14ac:dyDescent="0.2">
      <c r="A87" s="22"/>
      <c r="B87" s="16"/>
      <c r="C87" s="16"/>
      <c r="D87" s="16"/>
      <c r="E87" s="23"/>
      <c r="F87" s="85"/>
      <c r="G87" s="92"/>
      <c r="H87" s="92"/>
      <c r="I87" s="92"/>
      <c r="J87" s="35" t="s">
        <v>247</v>
      </c>
      <c r="K87" s="35" t="s">
        <v>80</v>
      </c>
      <c r="L87" s="16" t="s">
        <v>282</v>
      </c>
      <c r="M87" s="221">
        <f>SUM(N87:O87)</f>
        <v>561637</v>
      </c>
      <c r="N87" s="222">
        <v>0</v>
      </c>
      <c r="O87" s="222">
        <v>561637</v>
      </c>
      <c r="P87" s="223"/>
    </row>
    <row r="88" spans="1:16" ht="12" hidden="1" customHeight="1" x14ac:dyDescent="0.2">
      <c r="A88" s="22"/>
      <c r="B88" s="16"/>
      <c r="C88" s="16"/>
      <c r="D88" s="16"/>
      <c r="E88" s="23"/>
      <c r="F88" s="85"/>
      <c r="G88" s="86"/>
      <c r="H88" s="86"/>
      <c r="I88" s="86"/>
      <c r="J88" s="35" t="s">
        <v>247</v>
      </c>
      <c r="K88" s="35" t="s">
        <v>283</v>
      </c>
      <c r="L88" s="16" t="s">
        <v>284</v>
      </c>
      <c r="M88" s="221"/>
      <c r="N88" s="222"/>
      <c r="O88" s="222"/>
      <c r="P88" s="223"/>
    </row>
    <row r="89" spans="1:16" ht="12" hidden="1" customHeight="1" x14ac:dyDescent="0.2">
      <c r="A89" s="22"/>
      <c r="B89" s="16"/>
      <c r="C89" s="16"/>
      <c r="D89" s="16"/>
      <c r="E89" s="23"/>
      <c r="F89" s="85"/>
      <c r="G89" s="86"/>
      <c r="H89" s="86"/>
      <c r="I89" s="86"/>
      <c r="J89" s="35" t="s">
        <v>247</v>
      </c>
      <c r="K89" s="35" t="s">
        <v>285</v>
      </c>
      <c r="L89" s="16" t="s">
        <v>286</v>
      </c>
      <c r="M89" s="221"/>
      <c r="N89" s="222"/>
      <c r="O89" s="222"/>
      <c r="P89" s="223"/>
    </row>
    <row r="90" spans="1:16" ht="12" hidden="1" customHeight="1" x14ac:dyDescent="0.2">
      <c r="A90" s="22"/>
      <c r="B90" s="16"/>
      <c r="C90" s="16"/>
      <c r="D90" s="16"/>
      <c r="E90" s="23"/>
      <c r="F90" s="88"/>
      <c r="G90" s="89"/>
      <c r="H90" s="89"/>
      <c r="I90" s="89"/>
      <c r="J90" s="33" t="s">
        <v>247</v>
      </c>
      <c r="K90" s="33" t="s">
        <v>287</v>
      </c>
      <c r="L90" s="34" t="s">
        <v>81</v>
      </c>
      <c r="M90" s="227">
        <f>SUM(N90:P90)</f>
        <v>0</v>
      </c>
      <c r="N90" s="228">
        <f>SUM(N91:N93)</f>
        <v>0</v>
      </c>
      <c r="O90" s="228">
        <f t="shared" ref="O90:P90" si="28">SUM(O91:O93)</f>
        <v>0</v>
      </c>
      <c r="P90" s="229">
        <f t="shared" si="28"/>
        <v>0</v>
      </c>
    </row>
    <row r="91" spans="1:16" ht="12" hidden="1" customHeight="1" x14ac:dyDescent="0.2">
      <c r="A91" s="22"/>
      <c r="B91" s="16"/>
      <c r="C91" s="16"/>
      <c r="D91" s="16"/>
      <c r="E91" s="23"/>
      <c r="F91" s="85"/>
      <c r="G91" s="92"/>
      <c r="H91" s="92"/>
      <c r="I91" s="92"/>
      <c r="J91" s="35" t="s">
        <v>247</v>
      </c>
      <c r="K91" s="35" t="s">
        <v>82</v>
      </c>
      <c r="L91" s="16" t="s">
        <v>83</v>
      </c>
      <c r="M91" s="221"/>
      <c r="N91" s="222"/>
      <c r="O91" s="222"/>
      <c r="P91" s="223"/>
    </row>
    <row r="92" spans="1:16" ht="12" hidden="1" customHeight="1" x14ac:dyDescent="0.2">
      <c r="A92" s="22"/>
      <c r="B92" s="16"/>
      <c r="C92" s="16"/>
      <c r="D92" s="16"/>
      <c r="E92" s="23"/>
      <c r="F92" s="85"/>
      <c r="G92" s="86"/>
      <c r="H92" s="86"/>
      <c r="I92" s="86"/>
      <c r="J92" s="35" t="s">
        <v>247</v>
      </c>
      <c r="K92" s="35" t="s">
        <v>288</v>
      </c>
      <c r="L92" s="16" t="s">
        <v>289</v>
      </c>
      <c r="M92" s="221"/>
      <c r="N92" s="222"/>
      <c r="O92" s="222"/>
      <c r="P92" s="223"/>
    </row>
    <row r="93" spans="1:16" ht="12" hidden="1" customHeight="1" x14ac:dyDescent="0.2">
      <c r="A93" s="22"/>
      <c r="B93" s="16"/>
      <c r="C93" s="16"/>
      <c r="D93" s="16"/>
      <c r="E93" s="23"/>
      <c r="F93" s="85"/>
      <c r="G93" s="86"/>
      <c r="H93" s="86"/>
      <c r="I93" s="86"/>
      <c r="J93" s="35" t="s">
        <v>247</v>
      </c>
      <c r="K93" s="35" t="s">
        <v>290</v>
      </c>
      <c r="L93" s="16" t="s">
        <v>291</v>
      </c>
      <c r="M93" s="221"/>
      <c r="N93" s="222"/>
      <c r="O93" s="222"/>
      <c r="P93" s="223"/>
    </row>
    <row r="94" spans="1:16" ht="12" hidden="1" customHeight="1" x14ac:dyDescent="0.2">
      <c r="A94" s="22"/>
      <c r="B94" s="16"/>
      <c r="C94" s="16"/>
      <c r="D94" s="16"/>
      <c r="E94" s="23"/>
      <c r="F94" s="88"/>
      <c r="G94" s="89"/>
      <c r="H94" s="89"/>
      <c r="I94" s="89"/>
      <c r="J94" s="33" t="s">
        <v>247</v>
      </c>
      <c r="K94" s="33" t="s">
        <v>89</v>
      </c>
      <c r="L94" s="34" t="s">
        <v>292</v>
      </c>
      <c r="M94" s="227">
        <f>SUM(N94:P94)</f>
        <v>1447318.14</v>
      </c>
      <c r="N94" s="228">
        <f>SUM(N95:N103)</f>
        <v>0</v>
      </c>
      <c r="O94" s="228">
        <f t="shared" ref="O94:P94" si="29">SUM(O95:O103)</f>
        <v>1447318.14</v>
      </c>
      <c r="P94" s="229">
        <f t="shared" si="29"/>
        <v>0</v>
      </c>
    </row>
    <row r="95" spans="1:16" ht="12" hidden="1" customHeight="1" x14ac:dyDescent="0.2">
      <c r="A95" s="22"/>
      <c r="B95" s="16"/>
      <c r="C95" s="16"/>
      <c r="D95" s="16"/>
      <c r="E95" s="23"/>
      <c r="F95" s="85"/>
      <c r="G95" s="92"/>
      <c r="H95" s="92"/>
      <c r="I95" s="92"/>
      <c r="J95" s="35" t="s">
        <v>247</v>
      </c>
      <c r="K95" s="35" t="s">
        <v>84</v>
      </c>
      <c r="L95" s="16" t="s">
        <v>85</v>
      </c>
      <c r="M95" s="221">
        <f>SUM(N95:O95)</f>
        <v>0</v>
      </c>
      <c r="N95" s="222">
        <v>0</v>
      </c>
      <c r="O95" s="222"/>
      <c r="P95" s="223"/>
    </row>
    <row r="96" spans="1:16" ht="12" hidden="1" customHeight="1" x14ac:dyDescent="0.2">
      <c r="A96" s="22"/>
      <c r="B96" s="16"/>
      <c r="C96" s="16"/>
      <c r="D96" s="16"/>
      <c r="E96" s="23"/>
      <c r="F96" s="85"/>
      <c r="G96" s="86"/>
      <c r="H96" s="86"/>
      <c r="I96" s="86"/>
      <c r="J96" s="35" t="s">
        <v>247</v>
      </c>
      <c r="K96" s="35" t="s">
        <v>293</v>
      </c>
      <c r="L96" s="16" t="s">
        <v>294</v>
      </c>
      <c r="M96" s="221">
        <f t="shared" ref="M96:M102" si="30">SUM(N96:O96)</f>
        <v>0</v>
      </c>
      <c r="N96" s="222"/>
      <c r="O96" s="222"/>
      <c r="P96" s="223"/>
    </row>
    <row r="97" spans="1:17" ht="12" hidden="1" customHeight="1" x14ac:dyDescent="0.2">
      <c r="A97" s="22"/>
      <c r="B97" s="16"/>
      <c r="C97" s="16"/>
      <c r="D97" s="16"/>
      <c r="E97" s="23"/>
      <c r="F97" s="85"/>
      <c r="G97" s="86"/>
      <c r="H97" s="86"/>
      <c r="I97" s="86"/>
      <c r="J97" s="35" t="s">
        <v>247</v>
      </c>
      <c r="K97" s="35" t="s">
        <v>295</v>
      </c>
      <c r="L97" s="16" t="s">
        <v>296</v>
      </c>
      <c r="M97" s="221">
        <f t="shared" si="30"/>
        <v>0</v>
      </c>
      <c r="N97" s="222"/>
      <c r="O97" s="222"/>
      <c r="P97" s="223"/>
    </row>
    <row r="98" spans="1:17" ht="12" hidden="1" customHeight="1" x14ac:dyDescent="0.2">
      <c r="A98" s="22"/>
      <c r="B98" s="16"/>
      <c r="C98" s="16"/>
      <c r="D98" s="16"/>
      <c r="E98" s="23"/>
      <c r="F98" s="85"/>
      <c r="G98" s="86"/>
      <c r="H98" s="86"/>
      <c r="I98" s="86"/>
      <c r="J98" s="35" t="s">
        <v>247</v>
      </c>
      <c r="K98" s="35" t="s">
        <v>86</v>
      </c>
      <c r="L98" s="16" t="s">
        <v>87</v>
      </c>
      <c r="M98" s="221">
        <f t="shared" si="30"/>
        <v>0</v>
      </c>
      <c r="N98" s="222"/>
      <c r="O98" s="222"/>
      <c r="P98" s="223"/>
    </row>
    <row r="99" spans="1:17" ht="12" hidden="1" customHeight="1" x14ac:dyDescent="0.2">
      <c r="A99" s="22"/>
      <c r="B99" s="16"/>
      <c r="C99" s="16"/>
      <c r="D99" s="16"/>
      <c r="E99" s="23"/>
      <c r="F99" s="85"/>
      <c r="G99" s="92"/>
      <c r="H99" s="92"/>
      <c r="I99" s="92"/>
      <c r="J99" s="35" t="s">
        <v>247</v>
      </c>
      <c r="K99" s="35" t="s">
        <v>88</v>
      </c>
      <c r="L99" s="16" t="s">
        <v>297</v>
      </c>
      <c r="M99" s="221">
        <f t="shared" si="30"/>
        <v>0</v>
      </c>
      <c r="N99" s="222"/>
      <c r="O99" s="222"/>
      <c r="P99" s="223"/>
    </row>
    <row r="100" spans="1:17" ht="12" hidden="1" customHeight="1" x14ac:dyDescent="0.2">
      <c r="A100" s="22"/>
      <c r="B100" s="16"/>
      <c r="C100" s="16"/>
      <c r="D100" s="16"/>
      <c r="E100" s="23"/>
      <c r="F100" s="85"/>
      <c r="G100" s="92"/>
      <c r="H100" s="92"/>
      <c r="I100" s="92"/>
      <c r="J100" s="35" t="s">
        <v>247</v>
      </c>
      <c r="K100" s="35" t="s">
        <v>90</v>
      </c>
      <c r="L100" s="16" t="s">
        <v>91</v>
      </c>
      <c r="M100" s="221">
        <f t="shared" si="30"/>
        <v>355950</v>
      </c>
      <c r="N100" s="222">
        <v>0</v>
      </c>
      <c r="O100" s="222">
        <v>355950</v>
      </c>
      <c r="P100" s="223"/>
    </row>
    <row r="101" spans="1:17" ht="12" hidden="1" customHeight="1" x14ac:dyDescent="0.2">
      <c r="A101" s="22"/>
      <c r="B101" s="16"/>
      <c r="C101" s="16"/>
      <c r="D101" s="16"/>
      <c r="E101" s="23"/>
      <c r="F101" s="85"/>
      <c r="G101" s="92"/>
      <c r="H101" s="92"/>
      <c r="I101" s="92"/>
      <c r="J101" s="35" t="s">
        <v>247</v>
      </c>
      <c r="K101" s="35" t="s">
        <v>92</v>
      </c>
      <c r="L101" s="16" t="s">
        <v>298</v>
      </c>
      <c r="M101" s="221">
        <f t="shared" si="30"/>
        <v>0</v>
      </c>
      <c r="N101" s="222"/>
      <c r="O101" s="222"/>
      <c r="P101" s="223"/>
    </row>
    <row r="102" spans="1:17" s="43" customFormat="1" ht="21.75" hidden="1" customHeight="1" x14ac:dyDescent="0.25">
      <c r="A102" s="38"/>
      <c r="B102" s="39"/>
      <c r="C102" s="39"/>
      <c r="D102" s="39"/>
      <c r="E102" s="59"/>
      <c r="F102" s="95"/>
      <c r="G102" s="96"/>
      <c r="H102" s="96"/>
      <c r="I102" s="96"/>
      <c r="J102" s="58" t="s">
        <v>247</v>
      </c>
      <c r="K102" s="58" t="s">
        <v>93</v>
      </c>
      <c r="L102" s="45" t="s">
        <v>299</v>
      </c>
      <c r="M102" s="234">
        <f t="shared" si="30"/>
        <v>1091368.1399999999</v>
      </c>
      <c r="N102" s="235">
        <v>0</v>
      </c>
      <c r="O102" s="235">
        <v>1091368.1399999999</v>
      </c>
      <c r="P102" s="236"/>
      <c r="Q102" s="233"/>
    </row>
    <row r="103" spans="1:17" ht="12" hidden="1" customHeight="1" x14ac:dyDescent="0.2">
      <c r="A103" s="22"/>
      <c r="B103" s="16"/>
      <c r="C103" s="16"/>
      <c r="D103" s="16"/>
      <c r="E103" s="23"/>
      <c r="F103" s="85"/>
      <c r="G103" s="86"/>
      <c r="H103" s="86"/>
      <c r="I103" s="86"/>
      <c r="J103" s="35" t="s">
        <v>247</v>
      </c>
      <c r="K103" s="35" t="s">
        <v>300</v>
      </c>
      <c r="L103" s="16" t="s">
        <v>301</v>
      </c>
      <c r="M103" s="221">
        <f t="shared" ref="M103" si="31">SUM(N103:P103)</f>
        <v>0</v>
      </c>
      <c r="N103" s="222"/>
      <c r="O103" s="222"/>
      <c r="P103" s="223"/>
    </row>
    <row r="104" spans="1:17" ht="12" hidden="1" customHeight="1" x14ac:dyDescent="0.2">
      <c r="A104" s="22"/>
      <c r="B104" s="16"/>
      <c r="C104" s="16"/>
      <c r="D104" s="16"/>
      <c r="E104" s="23"/>
      <c r="F104" s="85"/>
      <c r="G104" s="86"/>
      <c r="H104" s="86"/>
      <c r="I104" s="86"/>
      <c r="J104" s="31"/>
      <c r="K104" s="32"/>
      <c r="L104" s="16"/>
      <c r="M104" s="221"/>
      <c r="N104" s="222"/>
      <c r="O104" s="222"/>
      <c r="P104" s="223"/>
    </row>
    <row r="105" spans="1:17" ht="12" hidden="1" customHeight="1" x14ac:dyDescent="0.2">
      <c r="A105" s="22"/>
      <c r="B105" s="16"/>
      <c r="C105" s="16"/>
      <c r="D105" s="16"/>
      <c r="E105" s="23"/>
      <c r="F105" s="88"/>
      <c r="G105" s="89"/>
      <c r="H105" s="89"/>
      <c r="I105" s="89"/>
      <c r="J105" s="33" t="s">
        <v>247</v>
      </c>
      <c r="K105" s="33" t="s">
        <v>302</v>
      </c>
      <c r="L105" s="34" t="s">
        <v>303</v>
      </c>
      <c r="M105" s="227">
        <f>SUM(M106:M111)</f>
        <v>0</v>
      </c>
      <c r="N105" s="228">
        <f t="shared" ref="N105:P105" si="32">SUM(N106:N112)</f>
        <v>0</v>
      </c>
      <c r="O105" s="228">
        <f t="shared" si="32"/>
        <v>0</v>
      </c>
      <c r="P105" s="229">
        <f t="shared" si="32"/>
        <v>0</v>
      </c>
    </row>
    <row r="106" spans="1:17" ht="12" hidden="1" customHeight="1" x14ac:dyDescent="0.2">
      <c r="A106" s="22"/>
      <c r="B106" s="16"/>
      <c r="C106" s="16"/>
      <c r="D106" s="16"/>
      <c r="E106" s="23"/>
      <c r="F106" s="85"/>
      <c r="G106" s="92"/>
      <c r="H106" s="92"/>
      <c r="I106" s="92"/>
      <c r="J106" s="35" t="s">
        <v>247</v>
      </c>
      <c r="K106" s="35" t="s">
        <v>304</v>
      </c>
      <c r="L106" s="16" t="s">
        <v>305</v>
      </c>
      <c r="M106" s="221">
        <f>SUM(N106:P106)</f>
        <v>0</v>
      </c>
      <c r="N106" s="222"/>
      <c r="O106" s="222"/>
      <c r="P106" s="223"/>
    </row>
    <row r="107" spans="1:17" ht="12" hidden="1" customHeight="1" x14ac:dyDescent="0.2">
      <c r="A107" s="22"/>
      <c r="B107" s="16"/>
      <c r="C107" s="16"/>
      <c r="D107" s="16"/>
      <c r="E107" s="23"/>
      <c r="F107" s="85"/>
      <c r="G107" s="86"/>
      <c r="H107" s="86"/>
      <c r="I107" s="86"/>
      <c r="J107" s="35" t="s">
        <v>247</v>
      </c>
      <c r="K107" s="35" t="s">
        <v>306</v>
      </c>
      <c r="L107" s="16" t="s">
        <v>307</v>
      </c>
      <c r="M107" s="221">
        <f>SUM(N107:O107)</f>
        <v>0</v>
      </c>
      <c r="N107" s="222">
        <v>0</v>
      </c>
      <c r="O107" s="222">
        <v>0</v>
      </c>
      <c r="P107" s="223"/>
    </row>
    <row r="108" spans="1:17" ht="12" hidden="1" customHeight="1" x14ac:dyDescent="0.2">
      <c r="A108" s="22"/>
      <c r="B108" s="16"/>
      <c r="C108" s="16"/>
      <c r="D108" s="16"/>
      <c r="E108" s="23"/>
      <c r="F108" s="85"/>
      <c r="G108" s="86"/>
      <c r="H108" s="86"/>
      <c r="I108" s="86"/>
      <c r="J108" s="35" t="s">
        <v>247</v>
      </c>
      <c r="K108" s="35" t="s">
        <v>308</v>
      </c>
      <c r="L108" s="16" t="s">
        <v>309</v>
      </c>
      <c r="M108" s="221">
        <f t="shared" ref="M108:M111" si="33">SUM(N108:P108)</f>
        <v>0</v>
      </c>
      <c r="N108" s="222"/>
      <c r="O108" s="222"/>
      <c r="P108" s="223"/>
    </row>
    <row r="109" spans="1:17" ht="12" hidden="1" customHeight="1" x14ac:dyDescent="0.2">
      <c r="A109" s="22"/>
      <c r="B109" s="16"/>
      <c r="C109" s="16"/>
      <c r="D109" s="16"/>
      <c r="E109" s="23"/>
      <c r="F109" s="85"/>
      <c r="G109" s="86"/>
      <c r="H109" s="86"/>
      <c r="I109" s="86"/>
      <c r="J109" s="35" t="s">
        <v>247</v>
      </c>
      <c r="K109" s="35" t="s">
        <v>310</v>
      </c>
      <c r="L109" s="16" t="s">
        <v>311</v>
      </c>
      <c r="M109" s="221">
        <f t="shared" si="33"/>
        <v>0</v>
      </c>
      <c r="N109" s="222"/>
      <c r="O109" s="222"/>
      <c r="P109" s="223"/>
    </row>
    <row r="110" spans="1:17" ht="12" hidden="1" customHeight="1" x14ac:dyDescent="0.2">
      <c r="A110" s="22"/>
      <c r="B110" s="16"/>
      <c r="C110" s="16"/>
      <c r="D110" s="16"/>
      <c r="E110" s="23"/>
      <c r="F110" s="85"/>
      <c r="G110" s="86"/>
      <c r="H110" s="86"/>
      <c r="I110" s="86"/>
      <c r="J110" s="35" t="s">
        <v>247</v>
      </c>
      <c r="K110" s="35" t="s">
        <v>312</v>
      </c>
      <c r="L110" s="16" t="s">
        <v>313</v>
      </c>
      <c r="M110" s="221">
        <f t="shared" si="33"/>
        <v>0</v>
      </c>
      <c r="N110" s="222"/>
      <c r="O110" s="222"/>
      <c r="P110" s="223"/>
    </row>
    <row r="111" spans="1:17" ht="12" hidden="1" customHeight="1" x14ac:dyDescent="0.2">
      <c r="A111" s="22"/>
      <c r="B111" s="16"/>
      <c r="C111" s="16"/>
      <c r="D111" s="16"/>
      <c r="E111" s="23"/>
      <c r="F111" s="85"/>
      <c r="G111" s="86"/>
      <c r="H111" s="86"/>
      <c r="I111" s="86"/>
      <c r="J111" s="35" t="s">
        <v>247</v>
      </c>
      <c r="K111" s="35" t="s">
        <v>314</v>
      </c>
      <c r="L111" s="16" t="s">
        <v>315</v>
      </c>
      <c r="M111" s="221">
        <f t="shared" si="33"/>
        <v>0</v>
      </c>
      <c r="N111" s="222"/>
      <c r="O111" s="222"/>
      <c r="P111" s="223"/>
    </row>
    <row r="112" spans="1:17" ht="12" hidden="1" customHeight="1" x14ac:dyDescent="0.2">
      <c r="A112" s="22"/>
      <c r="B112" s="16"/>
      <c r="C112" s="16"/>
      <c r="D112" s="16"/>
      <c r="E112" s="23"/>
      <c r="F112" s="85"/>
      <c r="G112" s="86"/>
      <c r="H112" s="86"/>
      <c r="I112" s="86"/>
      <c r="J112" s="35" t="s">
        <v>175</v>
      </c>
      <c r="K112" s="32"/>
      <c r="L112" s="16"/>
      <c r="M112" s="221"/>
      <c r="N112" s="222"/>
      <c r="O112" s="222"/>
      <c r="P112" s="223"/>
    </row>
    <row r="113" spans="1:16" ht="20.25" hidden="1" customHeight="1" x14ac:dyDescent="0.2">
      <c r="A113" s="22"/>
      <c r="B113" s="16"/>
      <c r="C113" s="16"/>
      <c r="D113" s="16"/>
      <c r="E113" s="23"/>
      <c r="F113" s="88"/>
      <c r="G113" s="89"/>
      <c r="H113" s="89"/>
      <c r="I113" s="89"/>
      <c r="J113" s="33" t="s">
        <v>247</v>
      </c>
      <c r="K113" s="33">
        <v>2</v>
      </c>
      <c r="L113" s="34" t="s">
        <v>316</v>
      </c>
      <c r="M113" s="227">
        <f>+M115+M121+M126+M134+M137+M142</f>
        <v>52007</v>
      </c>
      <c r="N113" s="228">
        <f t="shared" ref="N113:P113" si="34">+N115+N121+N126+N134+N137+N142</f>
        <v>0</v>
      </c>
      <c r="O113" s="228">
        <f>+O115+O121+O126+O134+O137+O142</f>
        <v>52007</v>
      </c>
      <c r="P113" s="229">
        <f t="shared" si="34"/>
        <v>0</v>
      </c>
    </row>
    <row r="114" spans="1:16" ht="12" hidden="1" customHeight="1" x14ac:dyDescent="0.2">
      <c r="A114" s="22"/>
      <c r="B114" s="16"/>
      <c r="C114" s="16"/>
      <c r="D114" s="16"/>
      <c r="E114" s="23"/>
      <c r="F114" s="85"/>
      <c r="G114" s="86"/>
      <c r="H114" s="86"/>
      <c r="I114" s="86"/>
      <c r="J114" s="35" t="s">
        <v>175</v>
      </c>
      <c r="K114" s="33"/>
      <c r="L114" s="34"/>
      <c r="M114" s="221"/>
      <c r="N114" s="222"/>
      <c r="O114" s="222"/>
      <c r="P114" s="223"/>
    </row>
    <row r="115" spans="1:16" ht="12" hidden="1" customHeight="1" x14ac:dyDescent="0.2">
      <c r="A115" s="22"/>
      <c r="B115" s="16"/>
      <c r="C115" s="16"/>
      <c r="D115" s="16"/>
      <c r="E115" s="23"/>
      <c r="F115" s="88"/>
      <c r="G115" s="89"/>
      <c r="H115" s="89"/>
      <c r="I115" s="89"/>
      <c r="J115" s="33" t="s">
        <v>247</v>
      </c>
      <c r="K115" s="33" t="s">
        <v>97</v>
      </c>
      <c r="L115" s="34" t="s">
        <v>317</v>
      </c>
      <c r="M115" s="227">
        <f>SUM(N115:P115)</f>
        <v>52007</v>
      </c>
      <c r="N115" s="228">
        <f>SUM(N116:N120)</f>
        <v>0</v>
      </c>
      <c r="O115" s="228">
        <f>SUM(O116:O120)</f>
        <v>52007</v>
      </c>
      <c r="P115" s="229">
        <f t="shared" ref="P115" si="35">SUM(P116:P120)</f>
        <v>0</v>
      </c>
    </row>
    <row r="116" spans="1:16" ht="12" hidden="1" customHeight="1" x14ac:dyDescent="0.2">
      <c r="A116" s="22"/>
      <c r="B116" s="16"/>
      <c r="C116" s="16"/>
      <c r="D116" s="16"/>
      <c r="E116" s="23"/>
      <c r="F116" s="85"/>
      <c r="G116" s="92"/>
      <c r="H116" s="92"/>
      <c r="I116" s="92"/>
      <c r="J116" s="35" t="s">
        <v>247</v>
      </c>
      <c r="K116" s="35" t="s">
        <v>98</v>
      </c>
      <c r="L116" s="16" t="s">
        <v>99</v>
      </c>
      <c r="M116" s="221">
        <f>SUM(N116:O116)</f>
        <v>52007</v>
      </c>
      <c r="N116" s="222">
        <v>0</v>
      </c>
      <c r="O116" s="222">
        <v>52007</v>
      </c>
      <c r="P116" s="223"/>
    </row>
    <row r="117" spans="1:16" ht="12" hidden="1" customHeight="1" x14ac:dyDescent="0.2">
      <c r="A117" s="22"/>
      <c r="B117" s="16"/>
      <c r="C117" s="16"/>
      <c r="D117" s="16"/>
      <c r="E117" s="23"/>
      <c r="F117" s="85"/>
      <c r="G117" s="86"/>
      <c r="H117" s="86"/>
      <c r="I117" s="86"/>
      <c r="J117" s="35" t="s">
        <v>247</v>
      </c>
      <c r="K117" s="35" t="s">
        <v>318</v>
      </c>
      <c r="L117" s="16" t="s">
        <v>319</v>
      </c>
      <c r="M117" s="221"/>
      <c r="N117" s="222"/>
      <c r="O117" s="222"/>
      <c r="P117" s="223"/>
    </row>
    <row r="118" spans="1:16" ht="12" hidden="1" customHeight="1" x14ac:dyDescent="0.2">
      <c r="A118" s="22"/>
      <c r="B118" s="16"/>
      <c r="C118" s="16"/>
      <c r="D118" s="16"/>
      <c r="E118" s="23"/>
      <c r="F118" s="85"/>
      <c r="G118" s="86"/>
      <c r="H118" s="86"/>
      <c r="I118" s="86"/>
      <c r="J118" s="35" t="s">
        <v>247</v>
      </c>
      <c r="K118" s="35" t="s">
        <v>320</v>
      </c>
      <c r="L118" s="16" t="s">
        <v>321</v>
      </c>
      <c r="M118" s="221"/>
      <c r="N118" s="222"/>
      <c r="O118" s="222"/>
      <c r="P118" s="223"/>
    </row>
    <row r="119" spans="1:16" ht="12" hidden="1" customHeight="1" x14ac:dyDescent="0.2">
      <c r="A119" s="22"/>
      <c r="B119" s="16"/>
      <c r="C119" s="16"/>
      <c r="D119" s="16"/>
      <c r="E119" s="23"/>
      <c r="F119" s="85"/>
      <c r="G119" s="86"/>
      <c r="H119" s="92"/>
      <c r="I119" s="86"/>
      <c r="J119" s="35" t="s">
        <v>247</v>
      </c>
      <c r="K119" s="35" t="s">
        <v>100</v>
      </c>
      <c r="L119" s="16" t="s">
        <v>322</v>
      </c>
      <c r="M119" s="221"/>
      <c r="N119" s="222"/>
      <c r="O119" s="222"/>
      <c r="P119" s="223"/>
    </row>
    <row r="120" spans="1:16" ht="12" hidden="1" customHeight="1" x14ac:dyDescent="0.2">
      <c r="A120" s="22"/>
      <c r="B120" s="16"/>
      <c r="C120" s="16"/>
      <c r="D120" s="16"/>
      <c r="E120" s="23"/>
      <c r="F120" s="85"/>
      <c r="G120" s="86"/>
      <c r="H120" s="86"/>
      <c r="I120" s="86"/>
      <c r="J120" s="35" t="s">
        <v>247</v>
      </c>
      <c r="K120" s="35" t="s">
        <v>323</v>
      </c>
      <c r="L120" s="16" t="s">
        <v>324</v>
      </c>
      <c r="M120" s="221">
        <f t="shared" ref="M120" si="36">SUM(N120:P120)</f>
        <v>0</v>
      </c>
      <c r="N120" s="222"/>
      <c r="O120" s="222"/>
      <c r="P120" s="223"/>
    </row>
    <row r="121" spans="1:16" ht="12" hidden="1" customHeight="1" x14ac:dyDescent="0.2">
      <c r="A121" s="22"/>
      <c r="B121" s="16"/>
      <c r="C121" s="16"/>
      <c r="D121" s="16"/>
      <c r="E121" s="23"/>
      <c r="F121" s="88"/>
      <c r="G121" s="89"/>
      <c r="H121" s="89"/>
      <c r="I121" s="89"/>
      <c r="J121" s="33" t="s">
        <v>247</v>
      </c>
      <c r="K121" s="33" t="s">
        <v>325</v>
      </c>
      <c r="L121" s="34" t="s">
        <v>326</v>
      </c>
      <c r="M121" s="227">
        <f>SUM(N121:P121)</f>
        <v>0</v>
      </c>
      <c r="N121" s="228">
        <f>SUM(N122:N125)</f>
        <v>0</v>
      </c>
      <c r="O121" s="228">
        <f>SUM(O122:O125)</f>
        <v>0</v>
      </c>
      <c r="P121" s="229">
        <f t="shared" ref="P121" si="37">SUM(P122:P125)</f>
        <v>0</v>
      </c>
    </row>
    <row r="122" spans="1:16" ht="12" hidden="1" customHeight="1" x14ac:dyDescent="0.2">
      <c r="A122" s="22"/>
      <c r="B122" s="16"/>
      <c r="C122" s="16"/>
      <c r="D122" s="16"/>
      <c r="E122" s="23"/>
      <c r="F122" s="85"/>
      <c r="G122" s="92"/>
      <c r="H122" s="92"/>
      <c r="I122" s="92"/>
      <c r="J122" s="35" t="s">
        <v>247</v>
      </c>
      <c r="K122" s="35" t="s">
        <v>327</v>
      </c>
      <c r="L122" s="16" t="s">
        <v>328</v>
      </c>
      <c r="M122" s="221">
        <f>SUM(N122:P122)</f>
        <v>0</v>
      </c>
      <c r="N122" s="222"/>
      <c r="O122" s="222"/>
      <c r="P122" s="223"/>
    </row>
    <row r="123" spans="1:16" ht="12" hidden="1" customHeight="1" x14ac:dyDescent="0.2">
      <c r="A123" s="22"/>
      <c r="B123" s="16"/>
      <c r="C123" s="16"/>
      <c r="D123" s="16"/>
      <c r="E123" s="23"/>
      <c r="F123" s="85"/>
      <c r="G123" s="86"/>
      <c r="H123" s="86"/>
      <c r="I123" s="86"/>
      <c r="J123" s="35" t="s">
        <v>247</v>
      </c>
      <c r="K123" s="35" t="s">
        <v>329</v>
      </c>
      <c r="L123" s="16" t="s">
        <v>330</v>
      </c>
      <c r="M123" s="221">
        <f t="shared" ref="M123:M125" si="38">SUM(N123:P123)</f>
        <v>0</v>
      </c>
      <c r="N123" s="222"/>
      <c r="O123" s="222"/>
      <c r="P123" s="223"/>
    </row>
    <row r="124" spans="1:16" ht="12" hidden="1" customHeight="1" x14ac:dyDescent="0.2">
      <c r="A124" s="22"/>
      <c r="B124" s="16"/>
      <c r="C124" s="16"/>
      <c r="D124" s="16"/>
      <c r="E124" s="23"/>
      <c r="F124" s="85"/>
      <c r="G124" s="86"/>
      <c r="H124" s="86"/>
      <c r="I124" s="86"/>
      <c r="J124" s="35" t="s">
        <v>247</v>
      </c>
      <c r="K124" s="35" t="s">
        <v>331</v>
      </c>
      <c r="L124" s="16" t="s">
        <v>332</v>
      </c>
      <c r="M124" s="221">
        <f t="shared" si="38"/>
        <v>0</v>
      </c>
      <c r="N124" s="222"/>
      <c r="O124" s="222"/>
      <c r="P124" s="223"/>
    </row>
    <row r="125" spans="1:16" ht="12" hidden="1" customHeight="1" x14ac:dyDescent="0.2">
      <c r="A125" s="22"/>
      <c r="B125" s="16"/>
      <c r="C125" s="16"/>
      <c r="D125" s="16"/>
      <c r="E125" s="23"/>
      <c r="F125" s="85"/>
      <c r="G125" s="86"/>
      <c r="H125" s="86"/>
      <c r="I125" s="86"/>
      <c r="J125" s="35" t="s">
        <v>247</v>
      </c>
      <c r="K125" s="35" t="s">
        <v>333</v>
      </c>
      <c r="L125" s="16" t="s">
        <v>334</v>
      </c>
      <c r="M125" s="221">
        <f t="shared" si="38"/>
        <v>0</v>
      </c>
      <c r="N125" s="222"/>
      <c r="O125" s="222"/>
      <c r="P125" s="223"/>
    </row>
    <row r="126" spans="1:16" ht="12" hidden="1" customHeight="1" x14ac:dyDescent="0.2">
      <c r="A126" s="22"/>
      <c r="B126" s="16"/>
      <c r="C126" s="16"/>
      <c r="D126" s="16"/>
      <c r="E126" s="23"/>
      <c r="F126" s="88"/>
      <c r="G126" s="89"/>
      <c r="H126" s="89"/>
      <c r="I126" s="89"/>
      <c r="J126" s="33" t="s">
        <v>247</v>
      </c>
      <c r="K126" s="33" t="s">
        <v>335</v>
      </c>
      <c r="L126" s="34" t="s">
        <v>336</v>
      </c>
      <c r="M126" s="227">
        <f>SUM(N126:P126)</f>
        <v>0</v>
      </c>
      <c r="N126" s="228">
        <f>SUM(N127:N133)</f>
        <v>0</v>
      </c>
      <c r="O126" s="228">
        <f>SUM(O127:O133)</f>
        <v>0</v>
      </c>
      <c r="P126" s="229">
        <f t="shared" ref="P126" si="39">SUM(P127:P133)</f>
        <v>0</v>
      </c>
    </row>
    <row r="127" spans="1:16" ht="12" hidden="1" customHeight="1" x14ac:dyDescent="0.2">
      <c r="A127" s="22"/>
      <c r="B127" s="16"/>
      <c r="C127" s="16"/>
      <c r="D127" s="16"/>
      <c r="E127" s="23"/>
      <c r="F127" s="85"/>
      <c r="G127" s="92"/>
      <c r="H127" s="92"/>
      <c r="I127" s="92"/>
      <c r="J127" s="35" t="s">
        <v>247</v>
      </c>
      <c r="K127" s="35" t="s">
        <v>337</v>
      </c>
      <c r="L127" s="16" t="s">
        <v>338</v>
      </c>
      <c r="M127" s="221">
        <f>SUM(N127:P127)</f>
        <v>0</v>
      </c>
      <c r="N127" s="222"/>
      <c r="O127" s="222"/>
      <c r="P127" s="223"/>
    </row>
    <row r="128" spans="1:16" ht="12" hidden="1" customHeight="1" x14ac:dyDescent="0.2">
      <c r="A128" s="22"/>
      <c r="B128" s="16"/>
      <c r="C128" s="16"/>
      <c r="D128" s="16"/>
      <c r="E128" s="23"/>
      <c r="F128" s="85"/>
      <c r="G128" s="86"/>
      <c r="H128" s="86"/>
      <c r="I128" s="86"/>
      <c r="J128" s="35" t="s">
        <v>247</v>
      </c>
      <c r="K128" s="35" t="s">
        <v>339</v>
      </c>
      <c r="L128" s="16" t="s">
        <v>340</v>
      </c>
      <c r="M128" s="221">
        <f t="shared" ref="M128:M133" si="40">SUM(N128:P128)</f>
        <v>0</v>
      </c>
      <c r="N128" s="222"/>
      <c r="O128" s="222"/>
      <c r="P128" s="223"/>
    </row>
    <row r="129" spans="1:16" ht="12" hidden="1" customHeight="1" x14ac:dyDescent="0.2">
      <c r="A129" s="22"/>
      <c r="B129" s="16"/>
      <c r="C129" s="16"/>
      <c r="D129" s="16"/>
      <c r="E129" s="23"/>
      <c r="F129" s="85"/>
      <c r="G129" s="86"/>
      <c r="H129" s="86"/>
      <c r="I129" s="86"/>
      <c r="J129" s="35" t="s">
        <v>247</v>
      </c>
      <c r="K129" s="35" t="s">
        <v>341</v>
      </c>
      <c r="L129" s="16" t="s">
        <v>342</v>
      </c>
      <c r="M129" s="221">
        <f t="shared" si="40"/>
        <v>0</v>
      </c>
      <c r="N129" s="222"/>
      <c r="O129" s="222"/>
      <c r="P129" s="223"/>
    </row>
    <row r="130" spans="1:16" ht="12" hidden="1" customHeight="1" x14ac:dyDescent="0.2">
      <c r="A130" s="22"/>
      <c r="B130" s="16"/>
      <c r="C130" s="16"/>
      <c r="D130" s="16"/>
      <c r="E130" s="23"/>
      <c r="F130" s="85"/>
      <c r="G130" s="86"/>
      <c r="H130" s="92"/>
      <c r="I130" s="86"/>
      <c r="J130" s="35" t="s">
        <v>247</v>
      </c>
      <c r="K130" s="35" t="s">
        <v>101</v>
      </c>
      <c r="L130" s="16" t="s">
        <v>102</v>
      </c>
      <c r="M130" s="221"/>
      <c r="N130" s="222"/>
      <c r="O130" s="222"/>
      <c r="P130" s="223"/>
    </row>
    <row r="131" spans="1:16" ht="12" hidden="1" customHeight="1" x14ac:dyDescent="0.2">
      <c r="A131" s="22"/>
      <c r="B131" s="16"/>
      <c r="C131" s="16"/>
      <c r="D131" s="16"/>
      <c r="E131" s="23"/>
      <c r="F131" s="85"/>
      <c r="G131" s="86"/>
      <c r="H131" s="86"/>
      <c r="I131" s="86"/>
      <c r="J131" s="35" t="s">
        <v>247</v>
      </c>
      <c r="K131" s="35" t="s">
        <v>343</v>
      </c>
      <c r="L131" s="16" t="s">
        <v>344</v>
      </c>
      <c r="M131" s="221">
        <f t="shared" si="40"/>
        <v>0</v>
      </c>
      <c r="N131" s="222"/>
      <c r="O131" s="222"/>
      <c r="P131" s="223"/>
    </row>
    <row r="132" spans="1:16" ht="12" hidden="1" customHeight="1" x14ac:dyDescent="0.2">
      <c r="A132" s="22"/>
      <c r="B132" s="16"/>
      <c r="C132" s="16"/>
      <c r="D132" s="16"/>
      <c r="E132" s="23"/>
      <c r="F132" s="85"/>
      <c r="G132" s="86"/>
      <c r="H132" s="86"/>
      <c r="I132" s="86"/>
      <c r="J132" s="35" t="s">
        <v>247</v>
      </c>
      <c r="K132" s="35" t="s">
        <v>345</v>
      </c>
      <c r="L132" s="16" t="s">
        <v>346</v>
      </c>
      <c r="M132" s="221">
        <f t="shared" si="40"/>
        <v>0</v>
      </c>
      <c r="N132" s="222"/>
      <c r="O132" s="222"/>
      <c r="P132" s="223"/>
    </row>
    <row r="133" spans="1:16" ht="12" hidden="1" customHeight="1" x14ac:dyDescent="0.2">
      <c r="A133" s="22"/>
      <c r="B133" s="16"/>
      <c r="C133" s="16"/>
      <c r="D133" s="16"/>
      <c r="E133" s="23"/>
      <c r="F133" s="85"/>
      <c r="G133" s="86"/>
      <c r="H133" s="86"/>
      <c r="I133" s="86"/>
      <c r="J133" s="35" t="s">
        <v>247</v>
      </c>
      <c r="K133" s="35" t="s">
        <v>347</v>
      </c>
      <c r="L133" s="16" t="s">
        <v>348</v>
      </c>
      <c r="M133" s="221">
        <f t="shared" si="40"/>
        <v>0</v>
      </c>
      <c r="N133" s="222"/>
      <c r="O133" s="222"/>
      <c r="P133" s="223"/>
    </row>
    <row r="134" spans="1:16" ht="12" hidden="1" customHeight="1" x14ac:dyDescent="0.2">
      <c r="A134" s="22"/>
      <c r="B134" s="16"/>
      <c r="C134" s="16"/>
      <c r="D134" s="16"/>
      <c r="E134" s="23"/>
      <c r="F134" s="88"/>
      <c r="G134" s="89"/>
      <c r="H134" s="89"/>
      <c r="I134" s="89"/>
      <c r="J134" s="33" t="s">
        <v>247</v>
      </c>
      <c r="K134" s="33" t="s">
        <v>349</v>
      </c>
      <c r="L134" s="34" t="s">
        <v>350</v>
      </c>
      <c r="M134" s="227">
        <f>SUM(N134:P134)</f>
        <v>0</v>
      </c>
      <c r="N134" s="228">
        <f>SUM(N135:N143)</f>
        <v>0</v>
      </c>
      <c r="O134" s="228">
        <f>SUM(O135:O136)</f>
        <v>0</v>
      </c>
      <c r="P134" s="229">
        <f t="shared" ref="P134" si="41">SUM(P135:P143)</f>
        <v>0</v>
      </c>
    </row>
    <row r="135" spans="1:16" ht="12" hidden="1" customHeight="1" x14ac:dyDescent="0.2">
      <c r="A135" s="22"/>
      <c r="B135" s="16"/>
      <c r="C135" s="16"/>
      <c r="D135" s="16"/>
      <c r="E135" s="23"/>
      <c r="F135" s="85"/>
      <c r="G135" s="92"/>
      <c r="H135" s="92"/>
      <c r="I135" s="92"/>
      <c r="J135" s="35" t="s">
        <v>247</v>
      </c>
      <c r="K135" s="35" t="s">
        <v>351</v>
      </c>
      <c r="L135" s="16" t="s">
        <v>352</v>
      </c>
      <c r="M135" s="221"/>
      <c r="N135" s="222"/>
      <c r="O135" s="222"/>
      <c r="P135" s="223"/>
    </row>
    <row r="136" spans="1:16" ht="12" hidden="1" customHeight="1" x14ac:dyDescent="0.2">
      <c r="A136" s="22"/>
      <c r="B136" s="16"/>
      <c r="C136" s="16"/>
      <c r="D136" s="16"/>
      <c r="E136" s="23"/>
      <c r="F136" s="85"/>
      <c r="G136" s="86"/>
      <c r="H136" s="86"/>
      <c r="I136" s="86"/>
      <c r="J136" s="35" t="s">
        <v>247</v>
      </c>
      <c r="K136" s="35" t="s">
        <v>353</v>
      </c>
      <c r="L136" s="16" t="s">
        <v>354</v>
      </c>
      <c r="M136" s="221"/>
      <c r="N136" s="222"/>
      <c r="O136" s="222"/>
      <c r="P136" s="223"/>
    </row>
    <row r="137" spans="1:16" ht="12" hidden="1" customHeight="1" x14ac:dyDescent="0.2">
      <c r="A137" s="22"/>
      <c r="B137" s="16"/>
      <c r="C137" s="16"/>
      <c r="D137" s="16"/>
      <c r="E137" s="23"/>
      <c r="F137" s="88"/>
      <c r="G137" s="89"/>
      <c r="H137" s="89"/>
      <c r="I137" s="89"/>
      <c r="J137" s="33" t="s">
        <v>247</v>
      </c>
      <c r="K137" s="33" t="s">
        <v>355</v>
      </c>
      <c r="L137" s="34" t="s">
        <v>356</v>
      </c>
      <c r="M137" s="227">
        <f>SUM(N137:P137)</f>
        <v>0</v>
      </c>
      <c r="N137" s="228">
        <f>SUM(N138:N141)</f>
        <v>0</v>
      </c>
      <c r="O137" s="228">
        <f>SUM(O138:O141)</f>
        <v>0</v>
      </c>
      <c r="P137" s="229">
        <f t="shared" ref="P137" si="42">SUM(P138:P141)</f>
        <v>0</v>
      </c>
    </row>
    <row r="138" spans="1:16" ht="12" hidden="1" customHeight="1" x14ac:dyDescent="0.2">
      <c r="A138" s="22"/>
      <c r="B138" s="16"/>
      <c r="C138" s="16"/>
      <c r="D138" s="16"/>
      <c r="E138" s="23"/>
      <c r="F138" s="85"/>
      <c r="G138" s="92"/>
      <c r="H138" s="92"/>
      <c r="I138" s="92"/>
      <c r="J138" s="35" t="s">
        <v>247</v>
      </c>
      <c r="K138" s="35" t="s">
        <v>357</v>
      </c>
      <c r="L138" s="16" t="s">
        <v>358</v>
      </c>
      <c r="M138" s="221">
        <f>SUM(N138:P138)</f>
        <v>0</v>
      </c>
      <c r="N138" s="222"/>
      <c r="O138" s="222"/>
      <c r="P138" s="223"/>
    </row>
    <row r="139" spans="1:16" ht="12" hidden="1" customHeight="1" x14ac:dyDescent="0.2">
      <c r="A139" s="22"/>
      <c r="B139" s="16"/>
      <c r="C139" s="16"/>
      <c r="D139" s="16"/>
      <c r="E139" s="23"/>
      <c r="F139" s="85"/>
      <c r="G139" s="86"/>
      <c r="H139" s="86"/>
      <c r="I139" s="86"/>
      <c r="J139" s="35" t="s">
        <v>247</v>
      </c>
      <c r="K139" s="35" t="s">
        <v>359</v>
      </c>
      <c r="L139" s="16" t="s">
        <v>360</v>
      </c>
      <c r="M139" s="221"/>
      <c r="N139" s="222"/>
      <c r="O139" s="222"/>
      <c r="P139" s="223"/>
    </row>
    <row r="140" spans="1:16" ht="12" hidden="1" customHeight="1" x14ac:dyDescent="0.2">
      <c r="A140" s="22"/>
      <c r="B140" s="16"/>
      <c r="C140" s="16"/>
      <c r="D140" s="16"/>
      <c r="E140" s="23"/>
      <c r="F140" s="85"/>
      <c r="G140" s="86"/>
      <c r="H140" s="86"/>
      <c r="I140" s="86"/>
      <c r="J140" s="35" t="s">
        <v>247</v>
      </c>
      <c r="K140" s="35" t="s">
        <v>361</v>
      </c>
      <c r="L140" s="16" t="s">
        <v>362</v>
      </c>
      <c r="M140" s="221"/>
      <c r="N140" s="222"/>
      <c r="O140" s="222"/>
      <c r="P140" s="223"/>
    </row>
    <row r="141" spans="1:16" ht="12" hidden="1" customHeight="1" x14ac:dyDescent="0.2">
      <c r="A141" s="22"/>
      <c r="B141" s="16"/>
      <c r="C141" s="16"/>
      <c r="D141" s="16"/>
      <c r="E141" s="23"/>
      <c r="F141" s="85"/>
      <c r="G141" s="86"/>
      <c r="H141" s="86"/>
      <c r="I141" s="86"/>
      <c r="J141" s="35" t="s">
        <v>247</v>
      </c>
      <c r="K141" s="35" t="s">
        <v>363</v>
      </c>
      <c r="L141" s="16" t="s">
        <v>364</v>
      </c>
      <c r="M141" s="221"/>
      <c r="N141" s="222"/>
      <c r="O141" s="222"/>
      <c r="P141" s="223"/>
    </row>
    <row r="142" spans="1:16" ht="12" hidden="1" customHeight="1" x14ac:dyDescent="0.2">
      <c r="A142" s="22"/>
      <c r="B142" s="16"/>
      <c r="C142" s="16"/>
      <c r="D142" s="16"/>
      <c r="E142" s="23"/>
      <c r="F142" s="88"/>
      <c r="G142" s="89"/>
      <c r="H142" s="89"/>
      <c r="I142" s="89"/>
      <c r="J142" s="33" t="s">
        <v>247</v>
      </c>
      <c r="K142" s="33" t="s">
        <v>103</v>
      </c>
      <c r="L142" s="34" t="s">
        <v>365</v>
      </c>
      <c r="M142" s="227">
        <f>SUM(N142:P142)</f>
        <v>0</v>
      </c>
      <c r="N142" s="228">
        <f>SUM(N143:N150)</f>
        <v>0</v>
      </c>
      <c r="O142" s="228">
        <f>SUM(O143:O150)</f>
        <v>0</v>
      </c>
      <c r="P142" s="229">
        <f t="shared" ref="P142" si="43">SUM(P143:P150)</f>
        <v>0</v>
      </c>
    </row>
    <row r="143" spans="1:16" ht="11.25" hidden="1" x14ac:dyDescent="0.2">
      <c r="A143" s="22"/>
      <c r="B143" s="16"/>
      <c r="C143" s="16"/>
      <c r="D143" s="16"/>
      <c r="E143" s="23"/>
      <c r="F143" s="85"/>
      <c r="G143" s="92"/>
      <c r="H143" s="92"/>
      <c r="I143" s="92"/>
      <c r="J143" s="35" t="s">
        <v>247</v>
      </c>
      <c r="K143" s="35" t="s">
        <v>104</v>
      </c>
      <c r="L143" s="16" t="s">
        <v>105</v>
      </c>
      <c r="M143" s="221"/>
      <c r="N143" s="222"/>
      <c r="O143" s="222"/>
      <c r="P143" s="223"/>
    </row>
    <row r="144" spans="1:16" ht="12" hidden="1" customHeight="1" x14ac:dyDescent="0.2">
      <c r="A144" s="22"/>
      <c r="B144" s="16"/>
      <c r="C144" s="16"/>
      <c r="D144" s="16"/>
      <c r="E144" s="23"/>
      <c r="F144" s="85"/>
      <c r="G144" s="86"/>
      <c r="H144" s="86"/>
      <c r="I144" s="86"/>
      <c r="J144" s="35" t="s">
        <v>247</v>
      </c>
      <c r="K144" s="35" t="s">
        <v>366</v>
      </c>
      <c r="L144" s="16" t="s">
        <v>367</v>
      </c>
      <c r="M144" s="221"/>
      <c r="N144" s="222"/>
      <c r="O144" s="222"/>
      <c r="P144" s="223"/>
    </row>
    <row r="145" spans="1:16" ht="11.25" hidden="1" x14ac:dyDescent="0.2">
      <c r="A145" s="22"/>
      <c r="B145" s="16"/>
      <c r="C145" s="16"/>
      <c r="D145" s="16"/>
      <c r="E145" s="23"/>
      <c r="F145" s="85"/>
      <c r="G145" s="86"/>
      <c r="H145" s="92"/>
      <c r="I145" s="86"/>
      <c r="J145" s="35" t="s">
        <v>247</v>
      </c>
      <c r="K145" s="35" t="s">
        <v>106</v>
      </c>
      <c r="L145" s="16" t="s">
        <v>107</v>
      </c>
      <c r="M145" s="221"/>
      <c r="N145" s="222"/>
      <c r="O145" s="222"/>
      <c r="P145" s="223"/>
    </row>
    <row r="146" spans="1:16" ht="11.25" hidden="1" x14ac:dyDescent="0.2">
      <c r="A146" s="22"/>
      <c r="B146" s="16"/>
      <c r="C146" s="16"/>
      <c r="D146" s="16"/>
      <c r="E146" s="23"/>
      <c r="F146" s="85"/>
      <c r="G146" s="86"/>
      <c r="H146" s="92"/>
      <c r="I146" s="86"/>
      <c r="J146" s="35" t="s">
        <v>247</v>
      </c>
      <c r="K146" s="35" t="s">
        <v>368</v>
      </c>
      <c r="L146" s="16" t="s">
        <v>369</v>
      </c>
      <c r="M146" s="221"/>
      <c r="N146" s="222"/>
      <c r="O146" s="222"/>
      <c r="P146" s="223"/>
    </row>
    <row r="147" spans="1:16" ht="11.25" hidden="1" x14ac:dyDescent="0.2">
      <c r="A147" s="22"/>
      <c r="B147" s="16"/>
      <c r="C147" s="16"/>
      <c r="D147" s="16"/>
      <c r="E147" s="23"/>
      <c r="F147" s="85"/>
      <c r="G147" s="86"/>
      <c r="H147" s="92"/>
      <c r="I147" s="86"/>
      <c r="J147" s="35" t="s">
        <v>247</v>
      </c>
      <c r="K147" s="35" t="s">
        <v>108</v>
      </c>
      <c r="L147" s="16" t="s">
        <v>109</v>
      </c>
      <c r="M147" s="221"/>
      <c r="N147" s="222"/>
      <c r="O147" s="222"/>
      <c r="P147" s="223"/>
    </row>
    <row r="148" spans="1:16" ht="11.25" hidden="1" x14ac:dyDescent="0.2">
      <c r="A148" s="22"/>
      <c r="B148" s="16"/>
      <c r="C148" s="16"/>
      <c r="D148" s="16"/>
      <c r="E148" s="23"/>
      <c r="F148" s="85"/>
      <c r="G148" s="86"/>
      <c r="H148" s="92"/>
      <c r="I148" s="86"/>
      <c r="J148" s="35" t="s">
        <v>247</v>
      </c>
      <c r="K148" s="35" t="s">
        <v>370</v>
      </c>
      <c r="L148" s="16" t="s">
        <v>371</v>
      </c>
      <c r="M148" s="221"/>
      <c r="N148" s="222"/>
      <c r="O148" s="222"/>
      <c r="P148" s="223"/>
    </row>
    <row r="149" spans="1:16" ht="11.25" hidden="1" x14ac:dyDescent="0.2">
      <c r="A149" s="22"/>
      <c r="B149" s="16"/>
      <c r="C149" s="16"/>
      <c r="D149" s="16"/>
      <c r="E149" s="23"/>
      <c r="F149" s="85"/>
      <c r="G149" s="86"/>
      <c r="H149" s="92"/>
      <c r="I149" s="86"/>
      <c r="J149" s="31" t="s">
        <v>247</v>
      </c>
      <c r="K149" s="35" t="s">
        <v>372</v>
      </c>
      <c r="L149" s="16" t="s">
        <v>373</v>
      </c>
      <c r="M149" s="221"/>
      <c r="N149" s="222"/>
      <c r="O149" s="222"/>
      <c r="P149" s="223"/>
    </row>
    <row r="150" spans="1:16" ht="11.25" hidden="1" x14ac:dyDescent="0.2">
      <c r="A150" s="22"/>
      <c r="B150" s="16"/>
      <c r="C150" s="16"/>
      <c r="D150" s="16"/>
      <c r="E150" s="23"/>
      <c r="F150" s="85"/>
      <c r="G150" s="98"/>
      <c r="H150" s="92"/>
      <c r="I150" s="86"/>
      <c r="J150" s="31" t="s">
        <v>247</v>
      </c>
      <c r="K150" s="35" t="s">
        <v>110</v>
      </c>
      <c r="L150" s="16" t="s">
        <v>374</v>
      </c>
      <c r="M150" s="221"/>
      <c r="N150" s="237"/>
      <c r="O150" s="222"/>
      <c r="P150" s="223"/>
    </row>
    <row r="151" spans="1:16" ht="11.25" hidden="1" x14ac:dyDescent="0.2">
      <c r="A151" s="22"/>
      <c r="B151" s="16"/>
      <c r="C151" s="16"/>
      <c r="D151" s="16"/>
      <c r="E151" s="23"/>
      <c r="F151" s="85"/>
      <c r="G151" s="98"/>
      <c r="H151" s="86"/>
      <c r="I151" s="86"/>
      <c r="J151" s="31"/>
      <c r="K151" s="35"/>
      <c r="L151" s="51"/>
      <c r="M151" s="221"/>
      <c r="N151" s="237"/>
      <c r="O151" s="222"/>
      <c r="P151" s="223"/>
    </row>
    <row r="152" spans="1:16" ht="11.25" hidden="1" x14ac:dyDescent="0.2">
      <c r="A152" s="22"/>
      <c r="B152" s="16"/>
      <c r="C152" s="16"/>
      <c r="D152" s="16"/>
      <c r="E152" s="23"/>
      <c r="F152" s="85"/>
      <c r="G152" s="98"/>
      <c r="H152" s="86"/>
      <c r="I152" s="86"/>
      <c r="J152" s="31"/>
      <c r="K152" s="35"/>
      <c r="L152" s="51"/>
      <c r="M152" s="221"/>
      <c r="N152" s="237"/>
      <c r="O152" s="222"/>
      <c r="P152" s="223"/>
    </row>
    <row r="153" spans="1:16" ht="11.25" hidden="1" customHeight="1" x14ac:dyDescent="0.2">
      <c r="A153" s="22"/>
      <c r="B153" s="16"/>
      <c r="C153" s="16"/>
      <c r="D153" s="16"/>
      <c r="E153" s="23"/>
      <c r="F153" s="85"/>
      <c r="G153" s="98"/>
      <c r="H153" s="86"/>
      <c r="I153" s="86"/>
      <c r="J153" s="35"/>
      <c r="K153" s="16"/>
      <c r="L153" s="16"/>
      <c r="M153" s="221"/>
      <c r="N153" s="237"/>
      <c r="O153" s="222"/>
      <c r="P153" s="223"/>
    </row>
    <row r="154" spans="1:16" ht="12" hidden="1" customHeight="1" thickBot="1" x14ac:dyDescent="0.25">
      <c r="A154" s="47"/>
      <c r="B154" s="48"/>
      <c r="C154" s="48"/>
      <c r="D154" s="48"/>
      <c r="E154" s="49"/>
      <c r="F154" s="97"/>
      <c r="G154" s="99"/>
      <c r="H154" s="100"/>
      <c r="I154" s="100"/>
      <c r="J154" s="52"/>
      <c r="K154" s="50"/>
      <c r="L154" s="48"/>
      <c r="M154" s="238"/>
      <c r="N154" s="239"/>
      <c r="O154" s="240"/>
      <c r="P154" s="241"/>
    </row>
    <row r="155" spans="1:16" ht="12" hidden="1" customHeight="1" x14ac:dyDescent="0.2">
      <c r="A155" s="22"/>
      <c r="B155" s="16"/>
      <c r="C155" s="16"/>
      <c r="D155" s="16"/>
      <c r="E155" s="23"/>
      <c r="F155" s="88"/>
      <c r="G155" s="89"/>
      <c r="H155" s="89"/>
      <c r="I155" s="89"/>
      <c r="J155" s="31"/>
      <c r="K155" s="33">
        <v>3</v>
      </c>
      <c r="L155" s="34" t="s">
        <v>375</v>
      </c>
      <c r="M155" s="227"/>
      <c r="N155" s="228"/>
      <c r="O155" s="228"/>
      <c r="P155" s="229"/>
    </row>
    <row r="156" spans="1:16" ht="12" hidden="1" customHeight="1" x14ac:dyDescent="0.2">
      <c r="A156" s="22"/>
      <c r="B156" s="16"/>
      <c r="C156" s="16"/>
      <c r="D156" s="16"/>
      <c r="E156" s="23"/>
      <c r="F156" s="90"/>
      <c r="G156" s="91"/>
      <c r="H156" s="91"/>
      <c r="I156" s="91"/>
      <c r="J156" s="31" t="s">
        <v>247</v>
      </c>
      <c r="K156" s="33" t="s">
        <v>376</v>
      </c>
      <c r="L156" s="34" t="s">
        <v>377</v>
      </c>
      <c r="M156" s="242"/>
      <c r="N156" s="224"/>
      <c r="O156" s="224"/>
      <c r="P156" s="225"/>
    </row>
    <row r="157" spans="1:16" ht="12" hidden="1" customHeight="1" x14ac:dyDescent="0.2">
      <c r="A157" s="22"/>
      <c r="B157" s="16"/>
      <c r="C157" s="16"/>
      <c r="D157" s="16"/>
      <c r="E157" s="23"/>
      <c r="F157" s="85"/>
      <c r="G157" s="92"/>
      <c r="H157" s="92"/>
      <c r="I157" s="92"/>
      <c r="J157" s="31" t="s">
        <v>247</v>
      </c>
      <c r="K157" s="35" t="s">
        <v>378</v>
      </c>
      <c r="L157" s="32" t="s">
        <v>379</v>
      </c>
      <c r="M157" s="221"/>
      <c r="N157" s="222"/>
      <c r="O157" s="222"/>
      <c r="P157" s="223"/>
    </row>
    <row r="158" spans="1:16" ht="12" hidden="1" customHeight="1" x14ac:dyDescent="0.2">
      <c r="A158" s="22"/>
      <c r="B158" s="16"/>
      <c r="C158" s="16"/>
      <c r="D158" s="16"/>
      <c r="E158" s="23"/>
      <c r="F158" s="85"/>
      <c r="G158" s="101"/>
      <c r="H158" s="92"/>
      <c r="I158" s="92"/>
      <c r="J158" s="31" t="s">
        <v>247</v>
      </c>
      <c r="K158" s="35" t="s">
        <v>380</v>
      </c>
      <c r="L158" s="16" t="s">
        <v>381</v>
      </c>
      <c r="M158" s="221"/>
      <c r="N158" s="237"/>
      <c r="O158" s="222"/>
      <c r="P158" s="223"/>
    </row>
    <row r="159" spans="1:16" ht="12" hidden="1" customHeight="1" x14ac:dyDescent="0.2">
      <c r="A159" s="22"/>
      <c r="B159" s="16"/>
      <c r="C159" s="16"/>
      <c r="D159" s="16"/>
      <c r="E159" s="23"/>
      <c r="F159" s="85"/>
      <c r="G159" s="101"/>
      <c r="H159" s="92"/>
      <c r="I159" s="92"/>
      <c r="J159" s="31" t="s">
        <v>247</v>
      </c>
      <c r="K159" s="35" t="s">
        <v>382</v>
      </c>
      <c r="L159" s="32" t="s">
        <v>383</v>
      </c>
      <c r="M159" s="221"/>
      <c r="N159" s="237"/>
      <c r="O159" s="222"/>
      <c r="P159" s="223"/>
    </row>
    <row r="160" spans="1:16" ht="12" hidden="1" customHeight="1" x14ac:dyDescent="0.2">
      <c r="A160" s="22"/>
      <c r="B160" s="16"/>
      <c r="C160" s="16"/>
      <c r="D160" s="16"/>
      <c r="E160" s="23"/>
      <c r="F160" s="85"/>
      <c r="G160" s="101"/>
      <c r="H160" s="92"/>
      <c r="I160" s="92"/>
      <c r="J160" s="31" t="s">
        <v>247</v>
      </c>
      <c r="K160" s="35" t="s">
        <v>384</v>
      </c>
      <c r="L160" s="16" t="s">
        <v>385</v>
      </c>
      <c r="M160" s="221"/>
      <c r="N160" s="237"/>
      <c r="O160" s="222"/>
      <c r="P160" s="223"/>
    </row>
    <row r="161" spans="1:16" ht="12" hidden="1" customHeight="1" x14ac:dyDescent="0.2">
      <c r="A161" s="22"/>
      <c r="B161" s="16"/>
      <c r="C161" s="16"/>
      <c r="D161" s="16"/>
      <c r="E161" s="23"/>
      <c r="F161" s="85"/>
      <c r="G161" s="98"/>
      <c r="H161" s="86"/>
      <c r="I161" s="86"/>
      <c r="J161" s="31"/>
      <c r="K161" s="35"/>
      <c r="L161" s="16"/>
      <c r="M161" s="221"/>
      <c r="N161" s="237"/>
      <c r="O161" s="222"/>
      <c r="P161" s="223"/>
    </row>
    <row r="162" spans="1:16" ht="12" hidden="1" customHeight="1" x14ac:dyDescent="0.2">
      <c r="A162" s="22"/>
      <c r="B162" s="16"/>
      <c r="C162" s="16"/>
      <c r="D162" s="16"/>
      <c r="E162" s="23"/>
      <c r="F162" s="88"/>
      <c r="G162" s="89"/>
      <c r="H162" s="89"/>
      <c r="I162" s="89"/>
      <c r="J162" s="33" t="s">
        <v>175</v>
      </c>
      <c r="K162" s="29">
        <v>9</v>
      </c>
      <c r="L162" s="53" t="s">
        <v>386</v>
      </c>
      <c r="M162" s="227"/>
      <c r="N162" s="228"/>
      <c r="O162" s="228"/>
      <c r="P162" s="229"/>
    </row>
    <row r="163" spans="1:16" ht="12" hidden="1" customHeight="1" x14ac:dyDescent="0.2">
      <c r="A163" s="22"/>
      <c r="B163" s="16"/>
      <c r="C163" s="16"/>
      <c r="D163" s="16"/>
      <c r="E163" s="23"/>
      <c r="F163" s="90"/>
      <c r="G163" s="91"/>
      <c r="H163" s="91"/>
      <c r="I163" s="91"/>
      <c r="J163" s="35" t="s">
        <v>247</v>
      </c>
      <c r="K163" s="17" t="s">
        <v>387</v>
      </c>
      <c r="L163" s="53" t="s">
        <v>388</v>
      </c>
      <c r="M163" s="242"/>
      <c r="N163" s="224"/>
      <c r="O163" s="224"/>
      <c r="P163" s="225"/>
    </row>
    <row r="164" spans="1:16" ht="12" hidden="1" customHeight="1" x14ac:dyDescent="0.2">
      <c r="A164" s="22"/>
      <c r="B164" s="16"/>
      <c r="C164" s="16"/>
      <c r="D164" s="16"/>
      <c r="E164" s="23"/>
      <c r="F164" s="85"/>
      <c r="G164" s="98"/>
      <c r="H164" s="86"/>
      <c r="I164" s="86"/>
      <c r="J164" s="35" t="s">
        <v>247</v>
      </c>
      <c r="K164" s="31" t="s">
        <v>389</v>
      </c>
      <c r="L164" s="32" t="s">
        <v>390</v>
      </c>
      <c r="M164" s="221"/>
      <c r="N164" s="237"/>
      <c r="O164" s="222"/>
      <c r="P164" s="223"/>
    </row>
    <row r="165" spans="1:16" ht="12" hidden="1" customHeight="1" x14ac:dyDescent="0.2">
      <c r="A165" s="22"/>
      <c r="B165" s="16"/>
      <c r="C165" s="16"/>
      <c r="D165" s="16"/>
      <c r="E165" s="23"/>
      <c r="F165" s="85"/>
      <c r="G165" s="86"/>
      <c r="H165" s="86"/>
      <c r="I165" s="86"/>
      <c r="J165" s="31"/>
      <c r="K165" s="32"/>
      <c r="L165" s="16"/>
      <c r="M165" s="221"/>
      <c r="N165" s="222"/>
      <c r="O165" s="222"/>
      <c r="P165" s="223"/>
    </row>
    <row r="166" spans="1:16" ht="12" hidden="1" customHeight="1" x14ac:dyDescent="0.2">
      <c r="A166" s="22"/>
      <c r="B166" s="33" t="s">
        <v>391</v>
      </c>
      <c r="C166" s="27" t="s">
        <v>392</v>
      </c>
      <c r="D166" s="16"/>
      <c r="E166" s="23"/>
      <c r="F166" s="85">
        <f>SUM(G166:I166)</f>
        <v>0</v>
      </c>
      <c r="G166" s="86"/>
      <c r="H166" s="86"/>
      <c r="I166" s="86"/>
      <c r="J166" s="31" t="s">
        <v>175</v>
      </c>
      <c r="K166" s="29">
        <v>3</v>
      </c>
      <c r="L166" s="34" t="s">
        <v>393</v>
      </c>
      <c r="M166" s="221"/>
      <c r="N166" s="222"/>
      <c r="O166" s="222"/>
      <c r="P166" s="223"/>
    </row>
    <row r="167" spans="1:16" ht="12" hidden="1" customHeight="1" x14ac:dyDescent="0.2">
      <c r="A167" s="22"/>
      <c r="B167" s="33"/>
      <c r="C167" s="27"/>
      <c r="D167" s="16"/>
      <c r="E167" s="23"/>
      <c r="F167" s="85"/>
      <c r="G167" s="86"/>
      <c r="H167" s="86"/>
      <c r="I167" s="86"/>
      <c r="J167" s="31"/>
      <c r="K167" s="29"/>
      <c r="L167" s="34"/>
      <c r="M167" s="221"/>
      <c r="N167" s="222"/>
      <c r="O167" s="222"/>
      <c r="P167" s="223"/>
    </row>
    <row r="168" spans="1:16" ht="12" hidden="1" customHeight="1" x14ac:dyDescent="0.2">
      <c r="A168" s="22"/>
      <c r="B168" s="33"/>
      <c r="C168" s="35" t="s">
        <v>394</v>
      </c>
      <c r="D168" s="16" t="s">
        <v>395</v>
      </c>
      <c r="E168" s="23"/>
      <c r="F168" s="85">
        <f>SUM(G168:I168)</f>
        <v>0</v>
      </c>
      <c r="G168" s="86"/>
      <c r="H168" s="86">
        <f>+O169+O172+O180+O183</f>
        <v>0</v>
      </c>
      <c r="I168" s="86">
        <f>+P169+P172+P180+P183</f>
        <v>0</v>
      </c>
      <c r="J168" s="31"/>
      <c r="K168" s="29"/>
      <c r="L168" s="34"/>
      <c r="M168" s="221"/>
      <c r="N168" s="222"/>
      <c r="O168" s="222"/>
      <c r="P168" s="223"/>
    </row>
    <row r="169" spans="1:16" ht="12" hidden="1" customHeight="1" x14ac:dyDescent="0.2">
      <c r="A169" s="22"/>
      <c r="B169" s="16"/>
      <c r="C169" s="16"/>
      <c r="D169" s="16"/>
      <c r="E169" s="23"/>
      <c r="F169" s="85"/>
      <c r="G169" s="86"/>
      <c r="H169" s="86"/>
      <c r="I169" s="86"/>
      <c r="J169" s="17" t="s">
        <v>394</v>
      </c>
      <c r="K169" s="17" t="s">
        <v>396</v>
      </c>
      <c r="L169" s="34" t="s">
        <v>397</v>
      </c>
      <c r="M169" s="221"/>
      <c r="N169" s="222"/>
      <c r="O169" s="222"/>
      <c r="P169" s="223"/>
    </row>
    <row r="170" spans="1:16" ht="12" hidden="1" customHeight="1" x14ac:dyDescent="0.2">
      <c r="A170" s="22"/>
      <c r="B170" s="16"/>
      <c r="C170" s="16"/>
      <c r="D170" s="16"/>
      <c r="E170" s="23"/>
      <c r="F170" s="85"/>
      <c r="G170" s="86"/>
      <c r="H170" s="86"/>
      <c r="I170" s="86"/>
      <c r="J170" s="31" t="s">
        <v>394</v>
      </c>
      <c r="K170" s="35" t="s">
        <v>398</v>
      </c>
      <c r="L170" s="16" t="s">
        <v>399</v>
      </c>
      <c r="M170" s="221"/>
      <c r="N170" s="222"/>
      <c r="O170" s="222"/>
      <c r="P170" s="223"/>
    </row>
    <row r="171" spans="1:16" ht="12" hidden="1" customHeight="1" x14ac:dyDescent="0.2">
      <c r="A171" s="22"/>
      <c r="B171" s="16"/>
      <c r="C171" s="16"/>
      <c r="D171" s="16"/>
      <c r="E171" s="23"/>
      <c r="F171" s="85"/>
      <c r="G171" s="86"/>
      <c r="H171" s="86"/>
      <c r="I171" s="86"/>
      <c r="J171" s="31" t="s">
        <v>394</v>
      </c>
      <c r="K171" s="35" t="s">
        <v>400</v>
      </c>
      <c r="L171" s="16" t="s">
        <v>401</v>
      </c>
      <c r="M171" s="221"/>
      <c r="N171" s="222"/>
      <c r="O171" s="222"/>
      <c r="P171" s="223"/>
    </row>
    <row r="172" spans="1:16" ht="12" hidden="1" customHeight="1" x14ac:dyDescent="0.2">
      <c r="A172" s="22"/>
      <c r="B172" s="16"/>
      <c r="C172" s="16"/>
      <c r="D172" s="16"/>
      <c r="E172" s="23"/>
      <c r="F172" s="85"/>
      <c r="G172" s="86"/>
      <c r="H172" s="86"/>
      <c r="I172" s="86"/>
      <c r="J172" s="17" t="s">
        <v>394</v>
      </c>
      <c r="K172" s="33" t="s">
        <v>402</v>
      </c>
      <c r="L172" s="34" t="s">
        <v>403</v>
      </c>
      <c r="M172" s="221"/>
      <c r="N172" s="222"/>
      <c r="O172" s="222"/>
      <c r="P172" s="223"/>
    </row>
    <row r="173" spans="1:16" ht="12" hidden="1" customHeight="1" x14ac:dyDescent="0.2">
      <c r="A173" s="22"/>
      <c r="B173" s="16"/>
      <c r="C173" s="16"/>
      <c r="D173" s="16"/>
      <c r="E173" s="23"/>
      <c r="F173" s="85"/>
      <c r="G173" s="86"/>
      <c r="H173" s="86"/>
      <c r="I173" s="86"/>
      <c r="J173" s="31" t="s">
        <v>394</v>
      </c>
      <c r="K173" s="35" t="s">
        <v>404</v>
      </c>
      <c r="L173" s="32" t="s">
        <v>405</v>
      </c>
      <c r="M173" s="221"/>
      <c r="N173" s="222"/>
      <c r="O173" s="222"/>
      <c r="P173" s="223"/>
    </row>
    <row r="174" spans="1:16" ht="12" hidden="1" customHeight="1" x14ac:dyDescent="0.2">
      <c r="A174" s="22"/>
      <c r="B174" s="16"/>
      <c r="C174" s="16"/>
      <c r="D174" s="16"/>
      <c r="E174" s="23"/>
      <c r="F174" s="85"/>
      <c r="G174" s="86"/>
      <c r="H174" s="86"/>
      <c r="I174" s="86"/>
      <c r="J174" s="31" t="s">
        <v>394</v>
      </c>
      <c r="K174" s="35" t="s">
        <v>406</v>
      </c>
      <c r="L174" s="32" t="s">
        <v>407</v>
      </c>
      <c r="M174" s="221"/>
      <c r="N174" s="222"/>
      <c r="O174" s="222"/>
      <c r="P174" s="223"/>
    </row>
    <row r="175" spans="1:16" ht="12" hidden="1" customHeight="1" x14ac:dyDescent="0.2">
      <c r="A175" s="22"/>
      <c r="B175" s="16"/>
      <c r="C175" s="16"/>
      <c r="D175" s="16"/>
      <c r="E175" s="23"/>
      <c r="F175" s="85"/>
      <c r="G175" s="86"/>
      <c r="H175" s="86"/>
      <c r="I175" s="86"/>
      <c r="J175" s="31" t="s">
        <v>394</v>
      </c>
      <c r="K175" s="35" t="s">
        <v>408</v>
      </c>
      <c r="L175" s="32" t="s">
        <v>409</v>
      </c>
      <c r="M175" s="221"/>
      <c r="N175" s="222"/>
      <c r="O175" s="222"/>
      <c r="P175" s="223"/>
    </row>
    <row r="176" spans="1:16" ht="12" hidden="1" customHeight="1" x14ac:dyDescent="0.2">
      <c r="A176" s="22"/>
      <c r="B176" s="16"/>
      <c r="C176" s="16"/>
      <c r="D176" s="16"/>
      <c r="E176" s="23"/>
      <c r="F176" s="85"/>
      <c r="G176" s="86"/>
      <c r="H176" s="86"/>
      <c r="I176" s="86"/>
      <c r="J176" s="31" t="s">
        <v>394</v>
      </c>
      <c r="K176" s="35" t="s">
        <v>410</v>
      </c>
      <c r="L176" s="32" t="s">
        <v>411</v>
      </c>
      <c r="M176" s="221"/>
      <c r="N176" s="222"/>
      <c r="O176" s="222"/>
      <c r="P176" s="223"/>
    </row>
    <row r="177" spans="1:16" ht="12" hidden="1" customHeight="1" x14ac:dyDescent="0.2">
      <c r="A177" s="22"/>
      <c r="B177" s="16"/>
      <c r="C177" s="16"/>
      <c r="D177" s="16"/>
      <c r="E177" s="23"/>
      <c r="F177" s="85"/>
      <c r="G177" s="86"/>
      <c r="H177" s="86"/>
      <c r="I177" s="86"/>
      <c r="J177" s="31" t="s">
        <v>394</v>
      </c>
      <c r="K177" s="35" t="s">
        <v>412</v>
      </c>
      <c r="L177" s="32" t="s">
        <v>413</v>
      </c>
      <c r="M177" s="221"/>
      <c r="N177" s="222"/>
      <c r="O177" s="222"/>
      <c r="P177" s="223"/>
    </row>
    <row r="178" spans="1:16" ht="12" hidden="1" customHeight="1" x14ac:dyDescent="0.2">
      <c r="A178" s="22"/>
      <c r="B178" s="16"/>
      <c r="C178" s="16"/>
      <c r="D178" s="16"/>
      <c r="E178" s="23"/>
      <c r="F178" s="85"/>
      <c r="G178" s="86"/>
      <c r="H178" s="86"/>
      <c r="I178" s="86"/>
      <c r="J178" s="31" t="s">
        <v>394</v>
      </c>
      <c r="K178" s="35" t="s">
        <v>414</v>
      </c>
      <c r="L178" s="32" t="s">
        <v>415</v>
      </c>
      <c r="M178" s="221"/>
      <c r="N178" s="222"/>
      <c r="O178" s="222"/>
      <c r="P178" s="223"/>
    </row>
    <row r="179" spans="1:16" ht="12" hidden="1" customHeight="1" x14ac:dyDescent="0.2">
      <c r="A179" s="22"/>
      <c r="B179" s="16"/>
      <c r="C179" s="16"/>
      <c r="D179" s="16"/>
      <c r="E179" s="23"/>
      <c r="F179" s="85"/>
      <c r="G179" s="86"/>
      <c r="H179" s="86"/>
      <c r="I179" s="86"/>
      <c r="J179" s="31" t="s">
        <v>394</v>
      </c>
      <c r="K179" s="35" t="s">
        <v>416</v>
      </c>
      <c r="L179" s="32" t="s">
        <v>417</v>
      </c>
      <c r="M179" s="221"/>
      <c r="N179" s="222"/>
      <c r="O179" s="222"/>
      <c r="P179" s="223"/>
    </row>
    <row r="180" spans="1:16" ht="12" hidden="1" customHeight="1" x14ac:dyDescent="0.2">
      <c r="A180" s="22"/>
      <c r="B180" s="16"/>
      <c r="C180" s="16"/>
      <c r="D180" s="16"/>
      <c r="E180" s="23"/>
      <c r="F180" s="85"/>
      <c r="G180" s="86"/>
      <c r="H180" s="86"/>
      <c r="I180" s="86"/>
      <c r="J180" s="31" t="s">
        <v>394</v>
      </c>
      <c r="K180" s="33" t="s">
        <v>418</v>
      </c>
      <c r="L180" s="53" t="s">
        <v>419</v>
      </c>
      <c r="M180" s="221"/>
      <c r="N180" s="222"/>
      <c r="O180" s="222"/>
      <c r="P180" s="223"/>
    </row>
    <row r="181" spans="1:16" ht="12" hidden="1" customHeight="1" x14ac:dyDescent="0.2">
      <c r="A181" s="22"/>
      <c r="B181" s="16"/>
      <c r="C181" s="16"/>
      <c r="D181" s="16"/>
      <c r="E181" s="23"/>
      <c r="F181" s="85"/>
      <c r="G181" s="86"/>
      <c r="H181" s="86"/>
      <c r="I181" s="86"/>
      <c r="J181" s="31" t="s">
        <v>394</v>
      </c>
      <c r="K181" s="35" t="s">
        <v>420</v>
      </c>
      <c r="L181" s="32" t="s">
        <v>421</v>
      </c>
      <c r="M181" s="221"/>
      <c r="N181" s="222"/>
      <c r="O181" s="222"/>
      <c r="P181" s="223"/>
    </row>
    <row r="182" spans="1:16" ht="11.25" hidden="1" x14ac:dyDescent="0.2">
      <c r="A182" s="22"/>
      <c r="B182" s="16"/>
      <c r="C182" s="16"/>
      <c r="D182" s="16"/>
      <c r="E182" s="23"/>
      <c r="F182" s="85"/>
      <c r="G182" s="86"/>
      <c r="H182" s="86"/>
      <c r="I182" s="86"/>
      <c r="J182" s="31" t="s">
        <v>394</v>
      </c>
      <c r="K182" s="35" t="s">
        <v>422</v>
      </c>
      <c r="L182" s="32" t="s">
        <v>423</v>
      </c>
      <c r="M182" s="221"/>
      <c r="N182" s="222"/>
      <c r="O182" s="222"/>
      <c r="P182" s="223"/>
    </row>
    <row r="183" spans="1:16" ht="11.25" hidden="1" x14ac:dyDescent="0.2">
      <c r="A183" s="22"/>
      <c r="B183" s="16"/>
      <c r="C183" s="16"/>
      <c r="D183" s="16"/>
      <c r="E183" s="23"/>
      <c r="F183" s="85"/>
      <c r="G183" s="86"/>
      <c r="H183" s="86"/>
      <c r="I183" s="86"/>
      <c r="J183" s="31" t="s">
        <v>394</v>
      </c>
      <c r="K183" s="33" t="s">
        <v>376</v>
      </c>
      <c r="L183" s="53" t="s">
        <v>377</v>
      </c>
      <c r="M183" s="221"/>
      <c r="N183" s="222"/>
      <c r="O183" s="222"/>
      <c r="P183" s="223"/>
    </row>
    <row r="184" spans="1:16" ht="11.25" hidden="1" x14ac:dyDescent="0.2">
      <c r="A184" s="54"/>
      <c r="B184" s="51"/>
      <c r="C184" s="51"/>
      <c r="D184" s="51"/>
      <c r="E184" s="55"/>
      <c r="F184" s="85"/>
      <c r="G184" s="86"/>
      <c r="H184" s="86"/>
      <c r="I184" s="86"/>
      <c r="J184" s="31" t="s">
        <v>394</v>
      </c>
      <c r="K184" s="35" t="s">
        <v>424</v>
      </c>
      <c r="L184" s="32" t="s">
        <v>425</v>
      </c>
      <c r="M184" s="221"/>
      <c r="N184" s="222"/>
      <c r="O184" s="222"/>
      <c r="P184" s="223"/>
    </row>
    <row r="185" spans="1:16" ht="14.25" hidden="1" customHeight="1" x14ac:dyDescent="0.2">
      <c r="A185" s="22"/>
      <c r="B185" s="16"/>
      <c r="C185" s="16"/>
      <c r="D185" s="16"/>
      <c r="E185" s="23"/>
      <c r="F185" s="85"/>
      <c r="G185" s="86"/>
      <c r="H185" s="86"/>
      <c r="I185" s="86"/>
      <c r="J185" s="31"/>
      <c r="K185" s="35"/>
      <c r="L185" s="32"/>
      <c r="M185" s="221"/>
      <c r="N185" s="222"/>
      <c r="O185" s="222"/>
      <c r="P185" s="223"/>
    </row>
    <row r="186" spans="1:16" ht="12" hidden="1" customHeight="1" x14ac:dyDescent="0.2">
      <c r="A186" s="22"/>
      <c r="B186" s="16"/>
      <c r="C186" s="35" t="s">
        <v>426</v>
      </c>
      <c r="D186" s="16" t="s">
        <v>427</v>
      </c>
      <c r="E186" s="23"/>
      <c r="F186" s="85">
        <f>SUM(G186:I186)</f>
        <v>0</v>
      </c>
      <c r="G186" s="86"/>
      <c r="H186" s="86">
        <f>+O187+O190+O192</f>
        <v>0</v>
      </c>
      <c r="I186" s="86">
        <f>+P187+P190+P192</f>
        <v>0</v>
      </c>
      <c r="J186" s="31" t="s">
        <v>175</v>
      </c>
      <c r="K186" s="35"/>
      <c r="L186" s="16"/>
      <c r="M186" s="221"/>
      <c r="N186" s="222"/>
      <c r="O186" s="222"/>
      <c r="P186" s="223"/>
    </row>
    <row r="187" spans="1:16" ht="12" hidden="1" customHeight="1" x14ac:dyDescent="0.2">
      <c r="A187" s="22"/>
      <c r="B187" s="16"/>
      <c r="C187" s="16"/>
      <c r="D187" s="16"/>
      <c r="E187" s="23"/>
      <c r="F187" s="85"/>
      <c r="G187" s="86"/>
      <c r="H187" s="86"/>
      <c r="I187" s="86"/>
      <c r="J187" s="17" t="s">
        <v>428</v>
      </c>
      <c r="K187" s="17" t="s">
        <v>396</v>
      </c>
      <c r="L187" s="34" t="s">
        <v>397</v>
      </c>
      <c r="M187" s="221"/>
      <c r="N187" s="222"/>
      <c r="O187" s="222"/>
      <c r="P187" s="223"/>
    </row>
    <row r="188" spans="1:16" ht="12" hidden="1" customHeight="1" x14ac:dyDescent="0.2">
      <c r="A188" s="22"/>
      <c r="B188" s="16"/>
      <c r="C188" s="16"/>
      <c r="D188" s="16"/>
      <c r="E188" s="23"/>
      <c r="F188" s="85"/>
      <c r="G188" s="86"/>
      <c r="H188" s="86"/>
      <c r="I188" s="86"/>
      <c r="J188" s="31" t="s">
        <v>428</v>
      </c>
      <c r="K188" s="35" t="s">
        <v>429</v>
      </c>
      <c r="L188" s="16" t="s">
        <v>430</v>
      </c>
      <c r="M188" s="221"/>
      <c r="N188" s="222"/>
      <c r="O188" s="222"/>
      <c r="P188" s="223"/>
    </row>
    <row r="189" spans="1:16" ht="12" hidden="1" customHeight="1" x14ac:dyDescent="0.2">
      <c r="A189" s="22"/>
      <c r="B189" s="16"/>
      <c r="C189" s="16"/>
      <c r="D189" s="16" t="s">
        <v>175</v>
      </c>
      <c r="E189" s="23"/>
      <c r="F189" s="85"/>
      <c r="G189" s="98"/>
      <c r="H189" s="86"/>
      <c r="I189" s="86"/>
      <c r="J189" s="31" t="s">
        <v>428</v>
      </c>
      <c r="K189" s="35" t="s">
        <v>431</v>
      </c>
      <c r="L189" s="16" t="s">
        <v>432</v>
      </c>
      <c r="M189" s="221"/>
      <c r="N189" s="237"/>
      <c r="O189" s="222"/>
      <c r="P189" s="223"/>
    </row>
    <row r="190" spans="1:16" ht="12" hidden="1" customHeight="1" x14ac:dyDescent="0.2">
      <c r="A190" s="22"/>
      <c r="B190" s="16"/>
      <c r="C190" s="16"/>
      <c r="D190" s="16"/>
      <c r="E190" s="23"/>
      <c r="F190" s="85"/>
      <c r="G190" s="86"/>
      <c r="H190" s="86"/>
      <c r="I190" s="86"/>
      <c r="J190" s="17" t="s">
        <v>428</v>
      </c>
      <c r="K190" s="33" t="s">
        <v>402</v>
      </c>
      <c r="L190" s="34" t="s">
        <v>403</v>
      </c>
      <c r="M190" s="221"/>
      <c r="N190" s="222"/>
      <c r="O190" s="222"/>
      <c r="P190" s="223"/>
    </row>
    <row r="191" spans="1:16" ht="12" hidden="1" customHeight="1" x14ac:dyDescent="0.2">
      <c r="A191" s="22"/>
      <c r="B191" s="16"/>
      <c r="C191" s="16"/>
      <c r="D191" s="16"/>
      <c r="E191" s="23"/>
      <c r="F191" s="85"/>
      <c r="G191" s="86"/>
      <c r="H191" s="86"/>
      <c r="I191" s="86"/>
      <c r="J191" s="31" t="s">
        <v>428</v>
      </c>
      <c r="K191" s="35" t="s">
        <v>433</v>
      </c>
      <c r="L191" s="32" t="s">
        <v>434</v>
      </c>
      <c r="M191" s="221"/>
      <c r="N191" s="222"/>
      <c r="O191" s="222"/>
      <c r="P191" s="223"/>
    </row>
    <row r="192" spans="1:16" ht="12" hidden="1" customHeight="1" x14ac:dyDescent="0.2">
      <c r="A192" s="22"/>
      <c r="B192" s="16"/>
      <c r="C192" s="16"/>
      <c r="D192" s="16"/>
      <c r="E192" s="23" t="s">
        <v>175</v>
      </c>
      <c r="F192" s="85"/>
      <c r="G192" s="86"/>
      <c r="H192" s="86"/>
      <c r="I192" s="86"/>
      <c r="J192" s="17" t="s">
        <v>428</v>
      </c>
      <c r="K192" s="33" t="s">
        <v>418</v>
      </c>
      <c r="L192" s="53" t="s">
        <v>419</v>
      </c>
      <c r="M192" s="221"/>
      <c r="N192" s="222"/>
      <c r="O192" s="222"/>
      <c r="P192" s="223"/>
    </row>
    <row r="193" spans="1:17" ht="12" hidden="1" customHeight="1" x14ac:dyDescent="0.2">
      <c r="A193" s="22"/>
      <c r="B193" s="16"/>
      <c r="C193" s="16"/>
      <c r="D193" s="16"/>
      <c r="E193" s="23"/>
      <c r="F193" s="85"/>
      <c r="G193" s="86"/>
      <c r="H193" s="86"/>
      <c r="I193" s="86"/>
      <c r="J193" s="31" t="s">
        <v>428</v>
      </c>
      <c r="K193" s="35" t="s">
        <v>420</v>
      </c>
      <c r="L193" s="32" t="s">
        <v>421</v>
      </c>
      <c r="M193" s="221"/>
      <c r="N193" s="222"/>
      <c r="O193" s="222"/>
      <c r="P193" s="223"/>
    </row>
    <row r="194" spans="1:17" ht="12" hidden="1" customHeight="1" x14ac:dyDescent="0.2">
      <c r="A194" s="22"/>
      <c r="B194" s="16"/>
      <c r="C194" s="16"/>
      <c r="D194" s="16"/>
      <c r="E194" s="23"/>
      <c r="F194" s="85"/>
      <c r="G194" s="86"/>
      <c r="H194" s="86"/>
      <c r="I194" s="86"/>
      <c r="J194" s="31" t="s">
        <v>428</v>
      </c>
      <c r="K194" s="35" t="s">
        <v>422</v>
      </c>
      <c r="L194" s="32" t="s">
        <v>423</v>
      </c>
      <c r="M194" s="221"/>
      <c r="N194" s="222"/>
      <c r="O194" s="222"/>
      <c r="P194" s="223"/>
    </row>
    <row r="195" spans="1:17" ht="12" customHeight="1" x14ac:dyDescent="0.2">
      <c r="A195" s="22"/>
      <c r="B195" s="16"/>
      <c r="C195" s="16"/>
      <c r="D195" s="16"/>
      <c r="E195" s="23"/>
      <c r="F195" s="85"/>
      <c r="G195" s="86"/>
      <c r="H195" s="86"/>
      <c r="I195" s="86"/>
      <c r="J195" s="31"/>
      <c r="K195" s="32"/>
      <c r="L195" s="16"/>
      <c r="M195" s="221"/>
      <c r="N195" s="222"/>
      <c r="O195" s="222"/>
      <c r="P195" s="223"/>
    </row>
    <row r="196" spans="1:17" s="25" customFormat="1" ht="12" customHeight="1" x14ac:dyDescent="0.2">
      <c r="A196" s="56"/>
      <c r="B196" s="17" t="s">
        <v>435</v>
      </c>
      <c r="C196" s="29" t="s">
        <v>5</v>
      </c>
      <c r="D196" s="29"/>
      <c r="E196" s="57"/>
      <c r="F196" s="102">
        <f>SUM(G196:I196)</f>
        <v>86699093.539999992</v>
      </c>
      <c r="G196" s="103">
        <f>+G198+G213+G236</f>
        <v>68793647.699999988</v>
      </c>
      <c r="H196" s="104">
        <f>+H198+H213+H236</f>
        <v>17905445.84</v>
      </c>
      <c r="I196" s="104">
        <f>+I214+I198</f>
        <v>0</v>
      </c>
      <c r="J196" s="17" t="s">
        <v>435</v>
      </c>
      <c r="K196" s="17">
        <v>6</v>
      </c>
      <c r="L196" s="53" t="s">
        <v>5</v>
      </c>
      <c r="M196" s="243">
        <f>+M198+M214+M219+M225+M230+M232+M236</f>
        <v>86699093.539999992</v>
      </c>
      <c r="N196" s="244">
        <f>+N198+N214+N219+N225+N230+N232+N236</f>
        <v>68793647.699999988</v>
      </c>
      <c r="O196" s="244">
        <f>+O198+O214+O219+O225+O230+O232+O236</f>
        <v>17905445.84</v>
      </c>
      <c r="P196" s="245">
        <f>+P198+P214+P219+P225+P230+P232+P236</f>
        <v>0</v>
      </c>
      <c r="Q196" s="177">
        <f>+F196-M196</f>
        <v>0</v>
      </c>
    </row>
    <row r="197" spans="1:17" ht="12" customHeight="1" x14ac:dyDescent="0.2">
      <c r="A197" s="22"/>
      <c r="B197" s="16"/>
      <c r="C197" s="16"/>
      <c r="D197" s="16"/>
      <c r="E197" s="23"/>
      <c r="F197" s="85"/>
      <c r="G197" s="86"/>
      <c r="H197" s="86"/>
      <c r="I197" s="86"/>
      <c r="J197" s="31"/>
      <c r="K197" s="31"/>
      <c r="L197" s="16"/>
      <c r="M197" s="221"/>
      <c r="N197" s="222"/>
      <c r="O197" s="222"/>
      <c r="P197" s="223"/>
      <c r="Q197" s="176">
        <f>+F363-M363</f>
        <v>0</v>
      </c>
    </row>
    <row r="198" spans="1:17" ht="12" customHeight="1" x14ac:dyDescent="0.2">
      <c r="A198" s="22"/>
      <c r="B198" s="16"/>
      <c r="C198" s="35" t="s">
        <v>436</v>
      </c>
      <c r="D198" s="16" t="s">
        <v>437</v>
      </c>
      <c r="E198" s="23"/>
      <c r="F198" s="85">
        <f>SUM(G198:I198)</f>
        <v>51111210.43</v>
      </c>
      <c r="G198" s="105">
        <f>+N198+N208</f>
        <v>45581049.299999997</v>
      </c>
      <c r="H198" s="105">
        <f>+O198+O208</f>
        <v>5530161.1299999999</v>
      </c>
      <c r="I198" s="105">
        <f>+P198+P208</f>
        <v>0</v>
      </c>
      <c r="J198" s="33" t="s">
        <v>436</v>
      </c>
      <c r="K198" s="33" t="s">
        <v>122</v>
      </c>
      <c r="L198" s="34" t="s">
        <v>438</v>
      </c>
      <c r="M198" s="242">
        <f>SUM(N198:P198)</f>
        <v>51111210.43</v>
      </c>
      <c r="N198" s="246">
        <f>SUM(N199:N207)</f>
        <v>45581049.299999997</v>
      </c>
      <c r="O198" s="246">
        <f t="shared" ref="O198:P198" si="44">SUM(O199:O207)</f>
        <v>5530161.1299999999</v>
      </c>
      <c r="P198" s="247">
        <f t="shared" si="44"/>
        <v>0</v>
      </c>
    </row>
    <row r="199" spans="1:17" ht="12" customHeight="1" x14ac:dyDescent="0.2">
      <c r="A199" s="22"/>
      <c r="B199" s="16"/>
      <c r="C199" s="35"/>
      <c r="D199" s="16"/>
      <c r="E199" s="23"/>
      <c r="F199" s="85"/>
      <c r="G199" s="92"/>
      <c r="H199" s="92"/>
      <c r="I199" s="92"/>
      <c r="J199" s="35" t="s">
        <v>436</v>
      </c>
      <c r="K199" s="35" t="s">
        <v>439</v>
      </c>
      <c r="L199" s="32" t="s">
        <v>440</v>
      </c>
      <c r="M199" s="221">
        <f>SUM(N199:P199)</f>
        <v>5530161.1299999999</v>
      </c>
      <c r="N199" s="222">
        <v>0</v>
      </c>
      <c r="O199" s="222">
        <v>5530161.1299999999</v>
      </c>
      <c r="P199" s="223"/>
    </row>
    <row r="200" spans="1:17" ht="12" hidden="1" customHeight="1" x14ac:dyDescent="0.2">
      <c r="A200" s="22"/>
      <c r="B200" s="16"/>
      <c r="C200" s="35"/>
      <c r="D200" s="16"/>
      <c r="E200" s="23"/>
      <c r="F200" s="85"/>
      <c r="G200" s="92"/>
      <c r="H200" s="92"/>
      <c r="I200" s="92"/>
      <c r="J200" s="35" t="s">
        <v>436</v>
      </c>
      <c r="K200" s="35" t="s">
        <v>123</v>
      </c>
      <c r="L200" s="32" t="s">
        <v>441</v>
      </c>
      <c r="M200" s="221">
        <f t="shared" ref="M200:M207" si="45">SUM(N200:P200)</f>
        <v>0</v>
      </c>
      <c r="N200" s="222">
        <v>0</v>
      </c>
      <c r="O200" s="222">
        <v>0</v>
      </c>
      <c r="P200" s="223"/>
    </row>
    <row r="201" spans="1:17" s="43" customFormat="1" ht="24" hidden="1" customHeight="1" x14ac:dyDescent="0.25">
      <c r="A201" s="38"/>
      <c r="B201" s="39"/>
      <c r="C201" s="58"/>
      <c r="D201" s="39"/>
      <c r="E201" s="59"/>
      <c r="F201" s="95"/>
      <c r="G201" s="96"/>
      <c r="H201" s="96"/>
      <c r="I201" s="96"/>
      <c r="J201" s="58" t="s">
        <v>436</v>
      </c>
      <c r="K201" s="58" t="s">
        <v>124</v>
      </c>
      <c r="L201" s="248" t="s">
        <v>442</v>
      </c>
      <c r="M201" s="234">
        <f t="shared" si="45"/>
        <v>21096735</v>
      </c>
      <c r="N201" s="235">
        <v>21096735</v>
      </c>
      <c r="O201" s="235">
        <v>0</v>
      </c>
      <c r="P201" s="236"/>
      <c r="Q201" s="233"/>
    </row>
    <row r="202" spans="1:17" ht="12" hidden="1" customHeight="1" x14ac:dyDescent="0.2">
      <c r="A202" s="22"/>
      <c r="B202" s="16"/>
      <c r="C202" s="35"/>
      <c r="D202" s="16"/>
      <c r="E202" s="23"/>
      <c r="F202" s="85"/>
      <c r="G202" s="92"/>
      <c r="H202" s="92"/>
      <c r="I202" s="92"/>
      <c r="J202" s="35" t="s">
        <v>436</v>
      </c>
      <c r="K202" s="35" t="s">
        <v>443</v>
      </c>
      <c r="L202" s="32" t="s">
        <v>444</v>
      </c>
      <c r="M202" s="221">
        <f t="shared" si="45"/>
        <v>0</v>
      </c>
      <c r="N202" s="222"/>
      <c r="O202" s="222"/>
      <c r="P202" s="223"/>
    </row>
    <row r="203" spans="1:17" ht="12" hidden="1" customHeight="1" x14ac:dyDescent="0.2">
      <c r="A203" s="22"/>
      <c r="B203" s="16"/>
      <c r="C203" s="35"/>
      <c r="D203" s="16"/>
      <c r="E203" s="23"/>
      <c r="F203" s="85"/>
      <c r="G203" s="92"/>
      <c r="H203" s="92"/>
      <c r="I203" s="92"/>
      <c r="J203" s="35" t="s">
        <v>436</v>
      </c>
      <c r="K203" s="35" t="s">
        <v>445</v>
      </c>
      <c r="L203" s="32" t="s">
        <v>446</v>
      </c>
      <c r="M203" s="221">
        <f t="shared" si="45"/>
        <v>0</v>
      </c>
      <c r="N203" s="222"/>
      <c r="O203" s="222"/>
      <c r="P203" s="223"/>
    </row>
    <row r="204" spans="1:17" ht="12" hidden="1" customHeight="1" x14ac:dyDescent="0.2">
      <c r="A204" s="22"/>
      <c r="B204" s="16"/>
      <c r="C204" s="35"/>
      <c r="D204" s="16"/>
      <c r="E204" s="23"/>
      <c r="F204" s="85"/>
      <c r="G204" s="92"/>
      <c r="H204" s="92"/>
      <c r="I204" s="92"/>
      <c r="J204" s="35" t="s">
        <v>436</v>
      </c>
      <c r="K204" s="35" t="s">
        <v>447</v>
      </c>
      <c r="L204" s="32" t="s">
        <v>448</v>
      </c>
      <c r="M204" s="221">
        <f t="shared" si="45"/>
        <v>0</v>
      </c>
      <c r="N204" s="222"/>
      <c r="O204" s="222"/>
      <c r="P204" s="223"/>
    </row>
    <row r="205" spans="1:17" ht="12" hidden="1" customHeight="1" x14ac:dyDescent="0.2">
      <c r="A205" s="22"/>
      <c r="B205" s="16"/>
      <c r="C205" s="35"/>
      <c r="D205" s="16"/>
      <c r="E205" s="23"/>
      <c r="F205" s="85"/>
      <c r="G205" s="92"/>
      <c r="H205" s="92"/>
      <c r="I205" s="92"/>
      <c r="J205" s="35" t="s">
        <v>436</v>
      </c>
      <c r="K205" s="35" t="s">
        <v>449</v>
      </c>
      <c r="L205" s="32" t="s">
        <v>450</v>
      </c>
      <c r="M205" s="221">
        <f t="shared" si="45"/>
        <v>0</v>
      </c>
      <c r="N205" s="222"/>
      <c r="O205" s="222"/>
      <c r="P205" s="223"/>
    </row>
    <row r="206" spans="1:17" ht="12" customHeight="1" x14ac:dyDescent="0.2">
      <c r="A206" s="22"/>
      <c r="B206" s="16"/>
      <c r="C206" s="35"/>
      <c r="D206" s="16"/>
      <c r="E206" s="23"/>
      <c r="F206" s="85"/>
      <c r="G206" s="92"/>
      <c r="H206" s="92"/>
      <c r="I206" s="92"/>
      <c r="J206" s="35" t="s">
        <v>436</v>
      </c>
      <c r="K206" s="35" t="s">
        <v>126</v>
      </c>
      <c r="L206" s="32" t="s">
        <v>451</v>
      </c>
      <c r="M206" s="221">
        <f t="shared" si="45"/>
        <v>24484314.300000001</v>
      </c>
      <c r="N206" s="222">
        <v>24484314.300000001</v>
      </c>
      <c r="O206" s="222">
        <v>0</v>
      </c>
      <c r="P206" s="223"/>
    </row>
    <row r="207" spans="1:17" ht="16.5" hidden="1" customHeight="1" x14ac:dyDescent="0.2">
      <c r="A207" s="22"/>
      <c r="B207" s="16"/>
      <c r="C207" s="35"/>
      <c r="D207" s="16"/>
      <c r="E207" s="23"/>
      <c r="F207" s="85"/>
      <c r="G207" s="92"/>
      <c r="H207" s="92"/>
      <c r="I207" s="92"/>
      <c r="J207" s="35" t="s">
        <v>436</v>
      </c>
      <c r="K207" s="35" t="s">
        <v>452</v>
      </c>
      <c r="L207" s="32" t="s">
        <v>453</v>
      </c>
      <c r="M207" s="221">
        <f t="shared" si="45"/>
        <v>0</v>
      </c>
      <c r="N207" s="222"/>
      <c r="O207" s="222"/>
      <c r="P207" s="223"/>
    </row>
    <row r="208" spans="1:17" ht="12" hidden="1" customHeight="1" x14ac:dyDescent="0.2">
      <c r="A208" s="22"/>
      <c r="B208" s="16"/>
      <c r="C208" s="35"/>
      <c r="D208" s="16"/>
      <c r="E208" s="23"/>
      <c r="F208" s="90"/>
      <c r="G208" s="106"/>
      <c r="H208" s="106"/>
      <c r="I208" s="106"/>
      <c r="J208" s="33" t="s">
        <v>436</v>
      </c>
      <c r="K208" s="33" t="s">
        <v>454</v>
      </c>
      <c r="L208" s="34" t="s">
        <v>94</v>
      </c>
      <c r="M208" s="242">
        <f>SUM(N208:O208)</f>
        <v>0</v>
      </c>
      <c r="N208" s="246">
        <f>SUM(N209:N213)</f>
        <v>0</v>
      </c>
      <c r="O208" s="246">
        <f>SUM(O209:O212)</f>
        <v>0</v>
      </c>
      <c r="P208" s="247"/>
    </row>
    <row r="209" spans="1:16" ht="12" hidden="1" customHeight="1" x14ac:dyDescent="0.2">
      <c r="A209" s="22"/>
      <c r="B209" s="16"/>
      <c r="C209" s="35"/>
      <c r="D209" s="16"/>
      <c r="E209" s="23"/>
      <c r="F209" s="107"/>
      <c r="G209" s="108"/>
      <c r="H209" s="108"/>
      <c r="I209" s="86"/>
      <c r="J209" s="35" t="s">
        <v>436</v>
      </c>
      <c r="K209" s="35" t="s">
        <v>455</v>
      </c>
      <c r="L209" s="16" t="s">
        <v>456</v>
      </c>
      <c r="M209" s="249"/>
      <c r="N209" s="250"/>
      <c r="O209" s="250"/>
      <c r="P209" s="223"/>
    </row>
    <row r="210" spans="1:16" ht="12" hidden="1" customHeight="1" x14ac:dyDescent="0.2">
      <c r="A210" s="22"/>
      <c r="B210" s="16"/>
      <c r="C210" s="35"/>
      <c r="D210" s="16"/>
      <c r="E210" s="23"/>
      <c r="F210" s="85"/>
      <c r="G210" s="86"/>
      <c r="H210" s="86"/>
      <c r="I210" s="86"/>
      <c r="J210" s="35" t="s">
        <v>436</v>
      </c>
      <c r="K210" s="35" t="s">
        <v>457</v>
      </c>
      <c r="L210" s="16" t="s">
        <v>458</v>
      </c>
      <c r="M210" s="221"/>
      <c r="N210" s="222"/>
      <c r="O210" s="222"/>
      <c r="P210" s="223"/>
    </row>
    <row r="211" spans="1:16" ht="12" hidden="1" customHeight="1" x14ac:dyDescent="0.2">
      <c r="A211" s="22"/>
      <c r="B211" s="16"/>
      <c r="C211" s="16"/>
      <c r="D211" s="16"/>
      <c r="E211" s="23"/>
      <c r="F211" s="85"/>
      <c r="G211" s="86"/>
      <c r="H211" s="86"/>
      <c r="I211" s="86"/>
      <c r="J211" s="35" t="s">
        <v>436</v>
      </c>
      <c r="K211" s="35" t="s">
        <v>459</v>
      </c>
      <c r="L211" s="16" t="s">
        <v>460</v>
      </c>
      <c r="M211" s="221"/>
      <c r="N211" s="222"/>
      <c r="O211" s="222"/>
      <c r="P211" s="223"/>
    </row>
    <row r="212" spans="1:16" ht="12" hidden="1" customHeight="1" x14ac:dyDescent="0.2">
      <c r="A212" s="22"/>
      <c r="B212" s="16"/>
      <c r="C212" s="16"/>
      <c r="D212" s="16"/>
      <c r="E212" s="23"/>
      <c r="F212" s="85"/>
      <c r="G212" s="92"/>
      <c r="H212" s="92"/>
      <c r="I212" s="92"/>
      <c r="J212" s="35" t="s">
        <v>436</v>
      </c>
      <c r="K212" s="35" t="s">
        <v>95</v>
      </c>
      <c r="L212" s="16" t="s">
        <v>96</v>
      </c>
      <c r="M212" s="221"/>
      <c r="N212" s="222"/>
      <c r="O212" s="222"/>
      <c r="P212" s="223"/>
    </row>
    <row r="213" spans="1:16" ht="12" customHeight="1" x14ac:dyDescent="0.2">
      <c r="A213" s="22"/>
      <c r="B213" s="16"/>
      <c r="C213" s="35" t="s">
        <v>461</v>
      </c>
      <c r="D213" s="16" t="s">
        <v>462</v>
      </c>
      <c r="E213" s="23"/>
      <c r="F213" s="85">
        <f>SUM(G213:H213)</f>
        <v>25787883.109999999</v>
      </c>
      <c r="G213" s="86">
        <f>+N214+N219+N225+N230+N232</f>
        <v>23212598.399999999</v>
      </c>
      <c r="H213" s="86">
        <f>+O214+O219+O225+O230+O232</f>
        <v>2575284.71</v>
      </c>
      <c r="I213" s="86"/>
      <c r="J213" s="35"/>
      <c r="K213" s="35"/>
      <c r="L213" s="16"/>
      <c r="M213" s="221"/>
      <c r="N213" s="222"/>
      <c r="O213" s="222"/>
      <c r="P213" s="223"/>
    </row>
    <row r="214" spans="1:16" ht="12" hidden="1" customHeight="1" x14ac:dyDescent="0.2">
      <c r="A214" s="22"/>
      <c r="B214" s="16"/>
      <c r="C214" s="35"/>
      <c r="D214" s="16"/>
      <c r="E214" s="23"/>
      <c r="F214" s="85"/>
      <c r="G214" s="92"/>
      <c r="H214" s="92"/>
      <c r="I214" s="92">
        <f>+P214+P219+P225+P230+P232</f>
        <v>0</v>
      </c>
      <c r="J214" s="17" t="s">
        <v>461</v>
      </c>
      <c r="K214" s="17" t="s">
        <v>463</v>
      </c>
      <c r="L214" s="34" t="s">
        <v>128</v>
      </c>
      <c r="M214" s="242">
        <f>SUM(N214:P214)</f>
        <v>0</v>
      </c>
      <c r="N214" s="246">
        <f>SUM(N215:N218)</f>
        <v>0</v>
      </c>
      <c r="O214" s="246">
        <f>SUM(O215:O218)</f>
        <v>0</v>
      </c>
      <c r="P214" s="247">
        <f>SUM(P215:P218)</f>
        <v>0</v>
      </c>
    </row>
    <row r="215" spans="1:16" ht="12" hidden="1" customHeight="1" x14ac:dyDescent="0.2">
      <c r="A215" s="22"/>
      <c r="B215" s="16"/>
      <c r="C215" s="35"/>
      <c r="D215" s="16" t="s">
        <v>175</v>
      </c>
      <c r="E215" s="23"/>
      <c r="F215" s="85"/>
      <c r="G215" s="92"/>
      <c r="H215" s="92"/>
      <c r="I215" s="92"/>
      <c r="J215" s="31" t="s">
        <v>461</v>
      </c>
      <c r="K215" s="31" t="s">
        <v>464</v>
      </c>
      <c r="L215" s="16" t="s">
        <v>465</v>
      </c>
      <c r="M215" s="221">
        <f>SUM(N215:P215)</f>
        <v>0</v>
      </c>
      <c r="N215" s="222"/>
      <c r="O215" s="222"/>
      <c r="P215" s="223"/>
    </row>
    <row r="216" spans="1:16" ht="12" hidden="1" customHeight="1" x14ac:dyDescent="0.2">
      <c r="A216" s="22"/>
      <c r="B216" s="16"/>
      <c r="C216" s="35"/>
      <c r="D216" s="16"/>
      <c r="E216" s="23"/>
      <c r="F216" s="85"/>
      <c r="G216" s="92"/>
      <c r="H216" s="92"/>
      <c r="I216" s="92"/>
      <c r="J216" s="31" t="s">
        <v>461</v>
      </c>
      <c r="K216" s="31" t="s">
        <v>129</v>
      </c>
      <c r="L216" s="16" t="s">
        <v>130</v>
      </c>
      <c r="M216" s="221">
        <f t="shared" ref="M216:M217" si="46">SUM(N216:P216)</f>
        <v>0</v>
      </c>
      <c r="N216" s="222"/>
      <c r="O216" s="222"/>
      <c r="P216" s="223">
        <v>0</v>
      </c>
    </row>
    <row r="217" spans="1:16" ht="12" hidden="1" customHeight="1" x14ac:dyDescent="0.2">
      <c r="A217" s="22"/>
      <c r="B217" s="16"/>
      <c r="C217" s="35"/>
      <c r="D217" s="16"/>
      <c r="E217" s="23"/>
      <c r="F217" s="85"/>
      <c r="G217" s="92"/>
      <c r="H217" s="92"/>
      <c r="I217" s="92"/>
      <c r="J217" s="31" t="s">
        <v>461</v>
      </c>
      <c r="K217" s="31" t="s">
        <v>466</v>
      </c>
      <c r="L217" s="16" t="s">
        <v>467</v>
      </c>
      <c r="M217" s="221">
        <f t="shared" si="46"/>
        <v>0</v>
      </c>
      <c r="N217" s="222"/>
      <c r="O217" s="222"/>
      <c r="P217" s="223"/>
    </row>
    <row r="218" spans="1:16" ht="12" hidden="1" customHeight="1" x14ac:dyDescent="0.2">
      <c r="A218" s="22"/>
      <c r="B218" s="16"/>
      <c r="C218" s="35"/>
      <c r="D218" s="16"/>
      <c r="E218" s="23"/>
      <c r="F218" s="85"/>
      <c r="G218" s="92"/>
      <c r="H218" s="92"/>
      <c r="I218" s="92"/>
      <c r="J218" s="31" t="s">
        <v>461</v>
      </c>
      <c r="K218" s="31" t="s">
        <v>131</v>
      </c>
      <c r="L218" s="16" t="s">
        <v>132</v>
      </c>
      <c r="M218" s="221"/>
      <c r="N218" s="222"/>
      <c r="O218" s="222"/>
      <c r="P218" s="223"/>
    </row>
    <row r="219" spans="1:16" ht="12" customHeight="1" x14ac:dyDescent="0.2">
      <c r="A219" s="22"/>
      <c r="B219" s="16"/>
      <c r="C219" s="35"/>
      <c r="D219" s="16"/>
      <c r="E219" s="23"/>
      <c r="F219" s="90"/>
      <c r="G219" s="106"/>
      <c r="H219" s="106"/>
      <c r="I219" s="106"/>
      <c r="J219" s="31" t="s">
        <v>461</v>
      </c>
      <c r="K219" s="17" t="s">
        <v>468</v>
      </c>
      <c r="L219" s="34" t="s">
        <v>469</v>
      </c>
      <c r="M219" s="242">
        <f>SUM(N219:P219)</f>
        <v>2810416.11</v>
      </c>
      <c r="N219" s="246">
        <f>SUM(N220:N224)</f>
        <v>235131.4</v>
      </c>
      <c r="O219" s="246">
        <f t="shared" ref="O219:P219" si="47">SUM(O220:O224)</f>
        <v>2575284.71</v>
      </c>
      <c r="P219" s="247">
        <f t="shared" si="47"/>
        <v>0</v>
      </c>
    </row>
    <row r="220" spans="1:16" ht="12" hidden="1" customHeight="1" x14ac:dyDescent="0.2">
      <c r="A220" s="22"/>
      <c r="B220" s="16"/>
      <c r="C220" s="35"/>
      <c r="D220" s="16"/>
      <c r="E220" s="23"/>
      <c r="F220" s="85"/>
      <c r="G220" s="106"/>
      <c r="H220" s="105"/>
      <c r="I220" s="106"/>
      <c r="J220" s="31" t="s">
        <v>461</v>
      </c>
      <c r="K220" s="31" t="s">
        <v>133</v>
      </c>
      <c r="L220" s="16" t="s">
        <v>134</v>
      </c>
      <c r="M220" s="221"/>
      <c r="N220" s="251"/>
      <c r="O220" s="251"/>
      <c r="P220" s="252"/>
    </row>
    <row r="221" spans="1:16" ht="12" hidden="1" customHeight="1" x14ac:dyDescent="0.2">
      <c r="A221" s="22"/>
      <c r="B221" s="16"/>
      <c r="C221" s="35"/>
      <c r="D221" s="16"/>
      <c r="E221" s="23"/>
      <c r="F221" s="85"/>
      <c r="G221" s="106"/>
      <c r="H221" s="106"/>
      <c r="I221" s="106"/>
      <c r="J221" s="31" t="s">
        <v>461</v>
      </c>
      <c r="K221" s="31" t="s">
        <v>470</v>
      </c>
      <c r="L221" s="16" t="s">
        <v>471</v>
      </c>
      <c r="M221" s="221"/>
      <c r="N221" s="246"/>
      <c r="O221" s="246"/>
      <c r="P221" s="247"/>
    </row>
    <row r="222" spans="1:16" ht="12" hidden="1" customHeight="1" x14ac:dyDescent="0.2">
      <c r="A222" s="22"/>
      <c r="B222" s="16"/>
      <c r="C222" s="35"/>
      <c r="D222" s="16"/>
      <c r="E222" s="23"/>
      <c r="F222" s="85"/>
      <c r="G222" s="106"/>
      <c r="H222" s="106"/>
      <c r="I222" s="106"/>
      <c r="J222" s="31" t="s">
        <v>461</v>
      </c>
      <c r="K222" s="31" t="s">
        <v>472</v>
      </c>
      <c r="L222" s="16" t="s">
        <v>473</v>
      </c>
      <c r="M222" s="221"/>
      <c r="N222" s="246"/>
      <c r="O222" s="246"/>
      <c r="P222" s="247"/>
    </row>
    <row r="223" spans="1:16" ht="12" hidden="1" customHeight="1" x14ac:dyDescent="0.2">
      <c r="A223" s="22"/>
      <c r="B223" s="16"/>
      <c r="C223" s="35"/>
      <c r="D223" s="16"/>
      <c r="E223" s="23"/>
      <c r="F223" s="85"/>
      <c r="G223" s="106"/>
      <c r="H223" s="106"/>
      <c r="I223" s="106"/>
      <c r="J223" s="31" t="s">
        <v>461</v>
      </c>
      <c r="K223" s="31" t="s">
        <v>474</v>
      </c>
      <c r="L223" s="16" t="s">
        <v>475</v>
      </c>
      <c r="M223" s="221"/>
      <c r="N223" s="246"/>
      <c r="O223" s="246"/>
      <c r="P223" s="247"/>
    </row>
    <row r="224" spans="1:16" ht="12" hidden="1" customHeight="1" x14ac:dyDescent="0.2">
      <c r="A224" s="22"/>
      <c r="B224" s="16"/>
      <c r="C224" s="35"/>
      <c r="D224" s="16"/>
      <c r="E224" s="23"/>
      <c r="F224" s="85"/>
      <c r="G224" s="105"/>
      <c r="H224" s="105"/>
      <c r="I224" s="105"/>
      <c r="J224" s="31" t="s">
        <v>461</v>
      </c>
      <c r="K224" s="31" t="s">
        <v>148</v>
      </c>
      <c r="L224" s="16" t="s">
        <v>476</v>
      </c>
      <c r="M224" s="221">
        <f>SUM(N224:O224)</f>
        <v>2810416.11</v>
      </c>
      <c r="N224" s="251">
        <v>235131.4</v>
      </c>
      <c r="O224" s="251">
        <v>2575284.71</v>
      </c>
      <c r="P224" s="252"/>
    </row>
    <row r="225" spans="1:17" s="43" customFormat="1" ht="22.5" hidden="1" x14ac:dyDescent="0.25">
      <c r="A225" s="38"/>
      <c r="B225" s="39"/>
      <c r="C225" s="58"/>
      <c r="D225" s="39"/>
      <c r="E225" s="59"/>
      <c r="F225" s="109"/>
      <c r="G225" s="110"/>
      <c r="H225" s="110"/>
      <c r="I225" s="110"/>
      <c r="J225" s="44" t="s">
        <v>461</v>
      </c>
      <c r="K225" s="41" t="s">
        <v>477</v>
      </c>
      <c r="L225" s="42" t="s">
        <v>135</v>
      </c>
      <c r="M225" s="253">
        <f>SUM(N225:P225)</f>
        <v>22977467</v>
      </c>
      <c r="N225" s="254">
        <f>SUM(N226:N229)</f>
        <v>22977467</v>
      </c>
      <c r="O225" s="254">
        <f>SUM(O226:O229)</f>
        <v>0</v>
      </c>
      <c r="P225" s="255">
        <f>SUM(P226:P229)</f>
        <v>0</v>
      </c>
      <c r="Q225" s="233"/>
    </row>
    <row r="226" spans="1:17" ht="12" hidden="1" customHeight="1" x14ac:dyDescent="0.2">
      <c r="A226" s="22"/>
      <c r="B226" s="16"/>
      <c r="C226" s="35"/>
      <c r="D226" s="16" t="s">
        <v>175</v>
      </c>
      <c r="E226" s="23"/>
      <c r="F226" s="85"/>
      <c r="G226" s="92"/>
      <c r="H226" s="92"/>
      <c r="I226" s="92"/>
      <c r="J226" s="31" t="s">
        <v>461</v>
      </c>
      <c r="K226" s="31" t="s">
        <v>136</v>
      </c>
      <c r="L226" s="23" t="s">
        <v>185</v>
      </c>
      <c r="M226" s="219">
        <f>SUM(N226:P226)</f>
        <v>0</v>
      </c>
      <c r="N226" s="222">
        <v>0</v>
      </c>
      <c r="O226" s="222">
        <v>0</v>
      </c>
      <c r="P226" s="223"/>
    </row>
    <row r="227" spans="1:17" ht="12" customHeight="1" x14ac:dyDescent="0.2">
      <c r="A227" s="22"/>
      <c r="B227" s="16"/>
      <c r="C227" s="35"/>
      <c r="D227" s="16"/>
      <c r="E227" s="23"/>
      <c r="F227" s="92"/>
      <c r="G227" s="92"/>
      <c r="H227" s="92"/>
      <c r="I227" s="82"/>
      <c r="J227" s="31" t="s">
        <v>461</v>
      </c>
      <c r="K227" s="31" t="s">
        <v>137</v>
      </c>
      <c r="L227" s="23" t="s">
        <v>478</v>
      </c>
      <c r="M227" s="222">
        <f t="shared" ref="M227:M229" si="48">SUM(N227:P227)</f>
        <v>22977467</v>
      </c>
      <c r="N227" s="223">
        <v>22977467</v>
      </c>
      <c r="O227" s="222">
        <v>0</v>
      </c>
      <c r="P227" s="223"/>
    </row>
    <row r="228" spans="1:17" ht="12" hidden="1" customHeight="1" thickBot="1" x14ac:dyDescent="0.25">
      <c r="A228" s="22"/>
      <c r="B228" s="16"/>
      <c r="C228" s="35"/>
      <c r="D228" s="16"/>
      <c r="E228" s="23"/>
      <c r="F228" s="92"/>
      <c r="G228" s="92"/>
      <c r="H228" s="92"/>
      <c r="I228" s="82"/>
      <c r="J228" s="31" t="s">
        <v>461</v>
      </c>
      <c r="K228" s="31" t="s">
        <v>138</v>
      </c>
      <c r="L228" s="23" t="s">
        <v>186</v>
      </c>
      <c r="M228" s="222">
        <f t="shared" si="48"/>
        <v>0</v>
      </c>
      <c r="N228" s="223"/>
      <c r="O228" s="222"/>
      <c r="P228" s="241"/>
    </row>
    <row r="229" spans="1:17" ht="12" hidden="1" customHeight="1" x14ac:dyDescent="0.2">
      <c r="A229" s="22"/>
      <c r="B229" s="16"/>
      <c r="C229" s="35"/>
      <c r="D229" s="16"/>
      <c r="E229" s="23"/>
      <c r="F229" s="85"/>
      <c r="G229" s="86"/>
      <c r="H229" s="86"/>
      <c r="I229" s="86"/>
      <c r="J229" s="31" t="s">
        <v>461</v>
      </c>
      <c r="K229" s="31" t="s">
        <v>479</v>
      </c>
      <c r="L229" s="16" t="s">
        <v>480</v>
      </c>
      <c r="M229" s="222">
        <f t="shared" si="48"/>
        <v>0</v>
      </c>
      <c r="N229" s="223"/>
      <c r="O229" s="222"/>
      <c r="P229" s="223"/>
    </row>
    <row r="230" spans="1:17" ht="12" hidden="1" customHeight="1" x14ac:dyDescent="0.2">
      <c r="A230" s="22"/>
      <c r="B230" s="16"/>
      <c r="C230" s="35"/>
      <c r="D230" s="16"/>
      <c r="E230" s="23"/>
      <c r="F230" s="90"/>
      <c r="G230" s="106"/>
      <c r="H230" s="106"/>
      <c r="I230" s="106"/>
      <c r="J230" s="31" t="s">
        <v>461</v>
      </c>
      <c r="K230" s="17" t="s">
        <v>481</v>
      </c>
      <c r="L230" s="34" t="s">
        <v>139</v>
      </c>
      <c r="M230" s="242">
        <f>SUM(N230:P230)</f>
        <v>0</v>
      </c>
      <c r="N230" s="246">
        <f>SUM(N231:N231)</f>
        <v>0</v>
      </c>
      <c r="O230" s="246">
        <f t="shared" ref="O230:P230" si="49">SUM(O231:O231)</f>
        <v>0</v>
      </c>
      <c r="P230" s="247">
        <f t="shared" si="49"/>
        <v>0</v>
      </c>
    </row>
    <row r="231" spans="1:17" ht="12" hidden="1" customHeight="1" x14ac:dyDescent="0.2">
      <c r="A231" s="22"/>
      <c r="B231" s="16"/>
      <c r="C231" s="35"/>
      <c r="D231" s="16" t="s">
        <v>175</v>
      </c>
      <c r="E231" s="23"/>
      <c r="F231" s="85"/>
      <c r="G231" s="92"/>
      <c r="H231" s="92"/>
      <c r="I231" s="92"/>
      <c r="J231" s="31" t="s">
        <v>461</v>
      </c>
      <c r="K231" s="31" t="s">
        <v>140</v>
      </c>
      <c r="L231" s="16" t="s">
        <v>187</v>
      </c>
      <c r="M231" s="221"/>
      <c r="N231" s="222"/>
      <c r="O231" s="222"/>
      <c r="P231" s="223"/>
    </row>
    <row r="232" spans="1:17" ht="12" hidden="1" customHeight="1" x14ac:dyDescent="0.2">
      <c r="A232" s="22"/>
      <c r="B232" s="16"/>
      <c r="C232" s="35"/>
      <c r="D232" s="16"/>
      <c r="E232" s="23"/>
      <c r="F232" s="90"/>
      <c r="G232" s="106"/>
      <c r="H232" s="106"/>
      <c r="I232" s="106"/>
      <c r="J232" s="31" t="s">
        <v>461</v>
      </c>
      <c r="K232" s="17" t="s">
        <v>482</v>
      </c>
      <c r="L232" s="34" t="s">
        <v>483</v>
      </c>
      <c r="M232" s="242">
        <f>SUM(N232:P232)</f>
        <v>0</v>
      </c>
      <c r="N232" s="246">
        <f>SUM(N233:N235)</f>
        <v>0</v>
      </c>
      <c r="O232" s="246">
        <f t="shared" ref="O232:P232" si="50">SUM(O233:O235)</f>
        <v>0</v>
      </c>
      <c r="P232" s="247">
        <f t="shared" si="50"/>
        <v>0</v>
      </c>
    </row>
    <row r="233" spans="1:17" ht="12" hidden="1" customHeight="1" x14ac:dyDescent="0.2">
      <c r="A233" s="22"/>
      <c r="B233" s="16"/>
      <c r="C233" s="35"/>
      <c r="D233" s="16"/>
      <c r="E233" s="23"/>
      <c r="F233" s="85"/>
      <c r="G233" s="92"/>
      <c r="H233" s="92"/>
      <c r="I233" s="92"/>
      <c r="J233" s="31" t="s">
        <v>461</v>
      </c>
      <c r="K233" s="31" t="s">
        <v>141</v>
      </c>
      <c r="L233" s="32" t="s">
        <v>142</v>
      </c>
      <c r="M233" s="221"/>
      <c r="N233" s="222"/>
      <c r="O233" s="222"/>
      <c r="P233" s="223"/>
    </row>
    <row r="234" spans="1:17" ht="12" hidden="1" customHeight="1" x14ac:dyDescent="0.2">
      <c r="A234" s="22"/>
      <c r="B234" s="16"/>
      <c r="C234" s="35"/>
      <c r="D234" s="16"/>
      <c r="E234" s="23"/>
      <c r="F234" s="85"/>
      <c r="G234" s="86"/>
      <c r="H234" s="86"/>
      <c r="I234" s="86"/>
      <c r="J234" s="31" t="s">
        <v>461</v>
      </c>
      <c r="K234" s="31" t="s">
        <v>143</v>
      </c>
      <c r="L234" s="32" t="s">
        <v>144</v>
      </c>
      <c r="M234" s="221"/>
      <c r="N234" s="222"/>
      <c r="O234" s="222"/>
      <c r="P234" s="223"/>
    </row>
    <row r="235" spans="1:17" ht="12" hidden="1" customHeight="1" x14ac:dyDescent="0.2">
      <c r="A235" s="22"/>
      <c r="B235" s="16"/>
      <c r="C235" s="35"/>
      <c r="D235" s="16"/>
      <c r="E235" s="23"/>
      <c r="F235" s="85"/>
      <c r="G235" s="86"/>
      <c r="H235" s="86"/>
      <c r="I235" s="86"/>
      <c r="J235" s="31" t="s">
        <v>175</v>
      </c>
      <c r="K235" s="31"/>
      <c r="L235" s="16"/>
      <c r="M235" s="221"/>
      <c r="N235" s="222"/>
      <c r="O235" s="222"/>
      <c r="P235" s="223"/>
    </row>
    <row r="236" spans="1:17" ht="12" customHeight="1" x14ac:dyDescent="0.2">
      <c r="A236" s="22"/>
      <c r="B236" s="16"/>
      <c r="C236" s="35" t="s">
        <v>484</v>
      </c>
      <c r="D236" s="16" t="s">
        <v>485</v>
      </c>
      <c r="E236" s="23"/>
      <c r="F236" s="85">
        <f>SUM(G236:I236)</f>
        <v>9800000</v>
      </c>
      <c r="G236" s="105">
        <f>+N236</f>
        <v>0</v>
      </c>
      <c r="H236" s="105">
        <f>+O236</f>
        <v>9800000</v>
      </c>
      <c r="I236" s="106">
        <f>+P236</f>
        <v>0</v>
      </c>
      <c r="J236" s="17" t="s">
        <v>484</v>
      </c>
      <c r="K236" s="17" t="s">
        <v>145</v>
      </c>
      <c r="L236" s="34" t="s">
        <v>146</v>
      </c>
      <c r="M236" s="242">
        <f>SUM(N236:P236)</f>
        <v>9800000</v>
      </c>
      <c r="N236" s="246">
        <f>SUM(N237:N238)</f>
        <v>0</v>
      </c>
      <c r="O236" s="246">
        <f t="shared" ref="O236:P236" si="51">SUM(O237:O238)</f>
        <v>9800000</v>
      </c>
      <c r="P236" s="247">
        <f t="shared" si="51"/>
        <v>0</v>
      </c>
    </row>
    <row r="237" spans="1:17" ht="12" customHeight="1" x14ac:dyDescent="0.2">
      <c r="A237" s="22"/>
      <c r="B237" s="16"/>
      <c r="C237" s="16"/>
      <c r="D237" s="16" t="s">
        <v>175</v>
      </c>
      <c r="E237" s="23"/>
      <c r="F237" s="85"/>
      <c r="G237" s="92"/>
      <c r="H237" s="92"/>
      <c r="I237" s="92"/>
      <c r="J237" s="31" t="s">
        <v>484</v>
      </c>
      <c r="K237" s="31" t="s">
        <v>147</v>
      </c>
      <c r="L237" s="16" t="s">
        <v>188</v>
      </c>
      <c r="M237" s="221">
        <f>SUM(N237:O237)</f>
        <v>9800000</v>
      </c>
      <c r="N237" s="222">
        <v>0</v>
      </c>
      <c r="O237" s="222">
        <v>9800000</v>
      </c>
      <c r="P237" s="223"/>
    </row>
    <row r="238" spans="1:17" ht="12" customHeight="1" x14ac:dyDescent="0.2">
      <c r="A238" s="22"/>
      <c r="B238" s="16"/>
      <c r="C238" s="16"/>
      <c r="D238" s="16" t="s">
        <v>175</v>
      </c>
      <c r="E238" s="23"/>
      <c r="F238" s="85"/>
      <c r="G238" s="86"/>
      <c r="H238" s="86"/>
      <c r="I238" s="86"/>
      <c r="J238" s="31" t="s">
        <v>484</v>
      </c>
      <c r="K238" s="31" t="s">
        <v>486</v>
      </c>
      <c r="L238" s="16" t="s">
        <v>487</v>
      </c>
      <c r="M238" s="221">
        <f>SUM(N238:O238)</f>
        <v>0</v>
      </c>
      <c r="N238" s="222"/>
      <c r="O238" s="222"/>
      <c r="P238" s="223"/>
    </row>
    <row r="239" spans="1:17" ht="12" customHeight="1" x14ac:dyDescent="0.2">
      <c r="A239" s="60" t="s">
        <v>488</v>
      </c>
      <c r="B239" s="29" t="s">
        <v>489</v>
      </c>
      <c r="C239" s="29"/>
      <c r="D239" s="29"/>
      <c r="E239" s="57"/>
      <c r="F239" s="102">
        <f>SUM(G239:I239)</f>
        <v>709187.28</v>
      </c>
      <c r="G239" s="103">
        <f>+G242+G253</f>
        <v>0</v>
      </c>
      <c r="H239" s="103">
        <f>+H242+H253</f>
        <v>709187.28</v>
      </c>
      <c r="I239" s="103">
        <f>+I242+I253</f>
        <v>0</v>
      </c>
      <c r="J239" s="31"/>
      <c r="K239" s="31"/>
      <c r="L239" s="16"/>
      <c r="M239" s="221"/>
      <c r="N239" s="222"/>
      <c r="O239" s="222"/>
      <c r="P239" s="223"/>
    </row>
    <row r="240" spans="1:17" s="25" customFormat="1" ht="12" customHeight="1" x14ac:dyDescent="0.2">
      <c r="A240" s="56"/>
      <c r="B240" s="32"/>
      <c r="C240" s="32"/>
      <c r="D240" s="32"/>
      <c r="E240" s="256"/>
      <c r="F240" s="98"/>
      <c r="G240" s="98"/>
      <c r="H240" s="98"/>
      <c r="I240" s="121"/>
      <c r="J240" s="17">
        <v>2</v>
      </c>
      <c r="K240" s="17">
        <v>5</v>
      </c>
      <c r="L240" s="53" t="s">
        <v>490</v>
      </c>
      <c r="M240" s="243">
        <f>+M242+M255+M265+M268+M273</f>
        <v>709187.28</v>
      </c>
      <c r="N240" s="244">
        <f t="shared" ref="N240:P240" si="52">+N242+N255+N265+N268+N273</f>
        <v>0</v>
      </c>
      <c r="O240" s="244">
        <f>+O242+O255+O265+O268+O273</f>
        <v>709187.28</v>
      </c>
      <c r="P240" s="245">
        <f t="shared" si="52"/>
        <v>0</v>
      </c>
      <c r="Q240" s="177"/>
    </row>
    <row r="241" spans="1:16" ht="12" hidden="1" customHeight="1" x14ac:dyDescent="0.2">
      <c r="A241" s="22"/>
      <c r="B241" s="16"/>
      <c r="C241" s="16"/>
      <c r="D241" s="16"/>
      <c r="E241" s="23"/>
      <c r="F241" s="85"/>
      <c r="G241" s="86"/>
      <c r="H241" s="86"/>
      <c r="I241" s="86"/>
      <c r="J241" s="31"/>
      <c r="K241" s="31"/>
      <c r="L241" s="16"/>
      <c r="M241" s="221"/>
      <c r="N241" s="222"/>
      <c r="O241" s="222"/>
      <c r="P241" s="223"/>
    </row>
    <row r="242" spans="1:16" ht="12" hidden="1" customHeight="1" x14ac:dyDescent="0.2">
      <c r="A242" s="22"/>
      <c r="B242" s="33" t="s">
        <v>491</v>
      </c>
      <c r="C242" s="27" t="s">
        <v>492</v>
      </c>
      <c r="D242" s="16"/>
      <c r="E242" s="23"/>
      <c r="F242" s="85"/>
      <c r="G242" s="86"/>
      <c r="H242" s="86"/>
      <c r="I242" s="86"/>
      <c r="J242" s="17" t="s">
        <v>175</v>
      </c>
      <c r="K242" s="17" t="s">
        <v>493</v>
      </c>
      <c r="L242" s="34" t="s">
        <v>494</v>
      </c>
      <c r="M242" s="221"/>
      <c r="N242" s="222"/>
      <c r="O242" s="222"/>
      <c r="P242" s="223"/>
    </row>
    <row r="243" spans="1:16" ht="12" hidden="1" customHeight="1" x14ac:dyDescent="0.2">
      <c r="A243" s="22"/>
      <c r="B243" s="33"/>
      <c r="C243" s="27"/>
      <c r="D243" s="16"/>
      <c r="E243" s="23"/>
      <c r="F243" s="85"/>
      <c r="G243" s="86"/>
      <c r="H243" s="86"/>
      <c r="I243" s="86"/>
      <c r="J243" s="17"/>
      <c r="K243" s="17"/>
      <c r="L243" s="34"/>
      <c r="M243" s="221"/>
      <c r="N243" s="222"/>
      <c r="O243" s="222"/>
      <c r="P243" s="223"/>
    </row>
    <row r="244" spans="1:16" ht="12" hidden="1" customHeight="1" x14ac:dyDescent="0.2">
      <c r="A244" s="22"/>
      <c r="B244" s="61"/>
      <c r="C244" s="35" t="s">
        <v>495</v>
      </c>
      <c r="D244" s="16" t="s">
        <v>496</v>
      </c>
      <c r="E244" s="23"/>
      <c r="F244" s="85"/>
      <c r="G244" s="86"/>
      <c r="H244" s="86">
        <f>+O244</f>
        <v>0</v>
      </c>
      <c r="I244" s="86">
        <f>+P244</f>
        <v>0</v>
      </c>
      <c r="J244" s="35" t="s">
        <v>495</v>
      </c>
      <c r="K244" s="31" t="s">
        <v>497</v>
      </c>
      <c r="L244" s="16" t="s">
        <v>498</v>
      </c>
      <c r="M244" s="221"/>
      <c r="N244" s="222"/>
      <c r="O244" s="222"/>
      <c r="P244" s="223"/>
    </row>
    <row r="245" spans="1:16" ht="12" hidden="1" customHeight="1" x14ac:dyDescent="0.2">
      <c r="A245" s="22"/>
      <c r="B245" s="61"/>
      <c r="C245" s="35" t="s">
        <v>499</v>
      </c>
      <c r="D245" s="16" t="s">
        <v>500</v>
      </c>
      <c r="E245" s="23"/>
      <c r="F245" s="85"/>
      <c r="G245" s="86"/>
      <c r="H245" s="86"/>
      <c r="I245" s="86"/>
      <c r="J245" s="35" t="s">
        <v>499</v>
      </c>
      <c r="K245" s="31" t="s">
        <v>501</v>
      </c>
      <c r="L245" s="16" t="s">
        <v>502</v>
      </c>
      <c r="M245" s="221"/>
      <c r="N245" s="222"/>
      <c r="O245" s="222"/>
      <c r="P245" s="223"/>
    </row>
    <row r="246" spans="1:16" ht="12" hidden="1" customHeight="1" x14ac:dyDescent="0.2">
      <c r="A246" s="22"/>
      <c r="B246" s="61"/>
      <c r="C246" s="16"/>
      <c r="D246" s="16"/>
      <c r="E246" s="23"/>
      <c r="F246" s="85"/>
      <c r="G246" s="86"/>
      <c r="H246" s="86"/>
      <c r="I246" s="86"/>
      <c r="J246" s="35" t="s">
        <v>499</v>
      </c>
      <c r="K246" s="31" t="s">
        <v>503</v>
      </c>
      <c r="L246" s="16" t="s">
        <v>504</v>
      </c>
      <c r="M246" s="221"/>
      <c r="N246" s="222"/>
      <c r="O246" s="222"/>
      <c r="P246" s="223"/>
    </row>
    <row r="247" spans="1:16" ht="12" hidden="1" customHeight="1" x14ac:dyDescent="0.2">
      <c r="A247" s="22"/>
      <c r="B247" s="16"/>
      <c r="C247" s="16"/>
      <c r="D247" s="16"/>
      <c r="E247" s="23"/>
      <c r="F247" s="85"/>
      <c r="G247" s="86"/>
      <c r="H247" s="86"/>
      <c r="I247" s="86"/>
      <c r="J247" s="35" t="s">
        <v>499</v>
      </c>
      <c r="K247" s="31" t="s">
        <v>505</v>
      </c>
      <c r="L247" s="16" t="s">
        <v>506</v>
      </c>
      <c r="M247" s="221"/>
      <c r="N247" s="222"/>
      <c r="O247" s="222"/>
      <c r="P247" s="223"/>
    </row>
    <row r="248" spans="1:16" ht="12" hidden="1" customHeight="1" x14ac:dyDescent="0.2">
      <c r="A248" s="22"/>
      <c r="B248" s="16"/>
      <c r="C248" s="16"/>
      <c r="D248" s="16"/>
      <c r="E248" s="23"/>
      <c r="F248" s="85"/>
      <c r="G248" s="86"/>
      <c r="H248" s="86"/>
      <c r="I248" s="86"/>
      <c r="J248" s="35" t="s">
        <v>499</v>
      </c>
      <c r="K248" s="31" t="s">
        <v>507</v>
      </c>
      <c r="L248" s="16" t="s">
        <v>508</v>
      </c>
      <c r="M248" s="221"/>
      <c r="N248" s="222"/>
      <c r="O248" s="222"/>
      <c r="P248" s="223"/>
    </row>
    <row r="249" spans="1:16" ht="12" hidden="1" customHeight="1" x14ac:dyDescent="0.2">
      <c r="A249" s="22"/>
      <c r="B249" s="16"/>
      <c r="C249" s="35" t="s">
        <v>509</v>
      </c>
      <c r="D249" s="16" t="s">
        <v>510</v>
      </c>
      <c r="E249" s="23"/>
      <c r="F249" s="85"/>
      <c r="G249" s="86"/>
      <c r="H249" s="86"/>
      <c r="I249" s="86"/>
      <c r="J249" s="35" t="s">
        <v>509</v>
      </c>
      <c r="K249" s="31" t="s">
        <v>511</v>
      </c>
      <c r="L249" s="16" t="s">
        <v>510</v>
      </c>
      <c r="M249" s="221"/>
      <c r="N249" s="222"/>
      <c r="O249" s="222"/>
      <c r="P249" s="223"/>
    </row>
    <row r="250" spans="1:16" ht="12" hidden="1" customHeight="1" x14ac:dyDescent="0.2">
      <c r="A250" s="22"/>
      <c r="B250" s="16"/>
      <c r="C250" s="35" t="s">
        <v>512</v>
      </c>
      <c r="D250" s="16" t="s">
        <v>513</v>
      </c>
      <c r="E250" s="23"/>
      <c r="F250" s="85"/>
      <c r="G250" s="86"/>
      <c r="H250" s="86"/>
      <c r="I250" s="86"/>
      <c r="J250" s="35" t="s">
        <v>512</v>
      </c>
      <c r="K250" s="31" t="s">
        <v>514</v>
      </c>
      <c r="L250" s="16" t="s">
        <v>513</v>
      </c>
      <c r="M250" s="221"/>
      <c r="N250" s="222"/>
      <c r="O250" s="222"/>
      <c r="P250" s="223"/>
    </row>
    <row r="251" spans="1:16" ht="12" hidden="1" customHeight="1" x14ac:dyDescent="0.2">
      <c r="A251" s="22"/>
      <c r="B251" s="16"/>
      <c r="C251" s="35" t="s">
        <v>515</v>
      </c>
      <c r="D251" s="16" t="s">
        <v>516</v>
      </c>
      <c r="E251" s="23"/>
      <c r="F251" s="85"/>
      <c r="G251" s="86"/>
      <c r="H251" s="86"/>
      <c r="I251" s="86"/>
      <c r="J251" s="35" t="s">
        <v>515</v>
      </c>
      <c r="K251" s="31" t="s">
        <v>517</v>
      </c>
      <c r="L251" s="16" t="s">
        <v>518</v>
      </c>
      <c r="M251" s="221"/>
      <c r="N251" s="222"/>
      <c r="O251" s="222"/>
      <c r="P251" s="223"/>
    </row>
    <row r="252" spans="1:16" ht="12" hidden="1" customHeight="1" x14ac:dyDescent="0.2">
      <c r="A252" s="22"/>
      <c r="B252" s="16"/>
      <c r="C252" s="35"/>
      <c r="D252" s="16"/>
      <c r="E252" s="23"/>
      <c r="F252" s="85"/>
      <c r="G252" s="86"/>
      <c r="H252" s="86"/>
      <c r="I252" s="86"/>
      <c r="J252" s="35"/>
      <c r="K252" s="31"/>
      <c r="L252" s="16"/>
      <c r="M252" s="221"/>
      <c r="N252" s="222"/>
      <c r="O252" s="222"/>
      <c r="P252" s="223"/>
    </row>
    <row r="253" spans="1:16" ht="12" customHeight="1" x14ac:dyDescent="0.2">
      <c r="A253" s="22"/>
      <c r="B253" s="33" t="s">
        <v>519</v>
      </c>
      <c r="C253" s="27" t="s">
        <v>520</v>
      </c>
      <c r="D253" s="16"/>
      <c r="E253" s="23"/>
      <c r="F253" s="90">
        <f>SUM(G253:I253)</f>
        <v>709187.28</v>
      </c>
      <c r="G253" s="112">
        <f>+G255+G269+G270+G274+G275</f>
        <v>0</v>
      </c>
      <c r="H253" s="112">
        <f>+H255+H269+H270+H274+H275</f>
        <v>709187.28</v>
      </c>
      <c r="I253" s="112">
        <f>+I255+I269+I270+I274+I275</f>
        <v>0</v>
      </c>
      <c r="J253" s="31" t="s">
        <v>175</v>
      </c>
      <c r="K253" s="32"/>
      <c r="L253" s="16"/>
      <c r="M253" s="221"/>
      <c r="N253" s="222"/>
      <c r="O253" s="222"/>
      <c r="P253" s="223"/>
    </row>
    <row r="254" spans="1:16" ht="12" customHeight="1" x14ac:dyDescent="0.2">
      <c r="A254" s="22"/>
      <c r="B254" s="33"/>
      <c r="C254" s="27"/>
      <c r="D254" s="16"/>
      <c r="E254" s="23"/>
      <c r="F254" s="85"/>
      <c r="G254" s="86"/>
      <c r="H254" s="86"/>
      <c r="I254" s="86"/>
      <c r="J254" s="31"/>
      <c r="K254" s="32"/>
      <c r="L254" s="16"/>
      <c r="M254" s="221"/>
      <c r="N254" s="222"/>
      <c r="O254" s="222"/>
      <c r="P254" s="223"/>
    </row>
    <row r="255" spans="1:16" ht="12" hidden="1" customHeight="1" x14ac:dyDescent="0.2">
      <c r="A255" s="22"/>
      <c r="B255" s="16"/>
      <c r="C255" s="35" t="s">
        <v>521</v>
      </c>
      <c r="D255" s="16" t="s">
        <v>522</v>
      </c>
      <c r="E255" s="23"/>
      <c r="F255" s="88">
        <f>SUM(G255:I255)</f>
        <v>0</v>
      </c>
      <c r="G255" s="89">
        <f>+N255+N265</f>
        <v>0</v>
      </c>
      <c r="H255" s="89">
        <f>+O255+O265</f>
        <v>0</v>
      </c>
      <c r="I255" s="89"/>
      <c r="J255" s="17" t="s">
        <v>521</v>
      </c>
      <c r="K255" s="17" t="s">
        <v>523</v>
      </c>
      <c r="L255" s="34" t="s">
        <v>111</v>
      </c>
      <c r="M255" s="227">
        <f>SUM(N255:P255)</f>
        <v>0</v>
      </c>
      <c r="N255" s="228">
        <f>SUM(N256:N263)</f>
        <v>0</v>
      </c>
      <c r="O255" s="228">
        <f>SUM(O256:O263)</f>
        <v>0</v>
      </c>
      <c r="P255" s="229">
        <f t="shared" ref="P255" si="53">SUM(P256:P263)</f>
        <v>0</v>
      </c>
    </row>
    <row r="256" spans="1:16" ht="12" hidden="1" customHeight="1" x14ac:dyDescent="0.2">
      <c r="A256" s="22"/>
      <c r="B256" s="16"/>
      <c r="C256" s="16"/>
      <c r="D256" s="16"/>
      <c r="E256" s="23"/>
      <c r="F256" s="85"/>
      <c r="G256" s="92"/>
      <c r="H256" s="92"/>
      <c r="I256" s="92"/>
      <c r="J256" s="31" t="s">
        <v>521</v>
      </c>
      <c r="K256" s="31" t="s">
        <v>524</v>
      </c>
      <c r="L256" s="16" t="s">
        <v>525</v>
      </c>
      <c r="M256" s="221">
        <f>SUM(N256:P256)</f>
        <v>0</v>
      </c>
      <c r="N256" s="222"/>
      <c r="O256" s="222"/>
      <c r="P256" s="223"/>
    </row>
    <row r="257" spans="1:16" ht="12" hidden="1" customHeight="1" x14ac:dyDescent="0.2">
      <c r="A257" s="22"/>
      <c r="B257" s="16"/>
      <c r="C257" s="16"/>
      <c r="D257" s="16"/>
      <c r="E257" s="23"/>
      <c r="F257" s="85"/>
      <c r="G257" s="86"/>
      <c r="H257" s="86"/>
      <c r="I257" s="86"/>
      <c r="J257" s="31" t="s">
        <v>521</v>
      </c>
      <c r="K257" s="31" t="s">
        <v>526</v>
      </c>
      <c r="L257" s="16" t="s">
        <v>527</v>
      </c>
      <c r="M257" s="221">
        <f t="shared" ref="M257:M263" si="54">SUM(N257:P257)</f>
        <v>0</v>
      </c>
      <c r="N257" s="222"/>
      <c r="O257" s="222"/>
      <c r="P257" s="223"/>
    </row>
    <row r="258" spans="1:16" ht="12" hidden="1" customHeight="1" x14ac:dyDescent="0.2">
      <c r="A258" s="22"/>
      <c r="B258" s="16"/>
      <c r="C258" s="16"/>
      <c r="D258" s="16"/>
      <c r="E258" s="23"/>
      <c r="F258" s="85"/>
      <c r="G258" s="86"/>
      <c r="H258" s="86"/>
      <c r="I258" s="86"/>
      <c r="J258" s="31" t="s">
        <v>521</v>
      </c>
      <c r="K258" s="31" t="s">
        <v>528</v>
      </c>
      <c r="L258" s="16" t="s">
        <v>529</v>
      </c>
      <c r="M258" s="221">
        <f t="shared" si="54"/>
        <v>0</v>
      </c>
      <c r="N258" s="222"/>
      <c r="O258" s="222"/>
      <c r="P258" s="223"/>
    </row>
    <row r="259" spans="1:16" ht="12" hidden="1" customHeight="1" x14ac:dyDescent="0.2">
      <c r="A259" s="22"/>
      <c r="B259" s="16"/>
      <c r="C259" s="16"/>
      <c r="D259" s="16"/>
      <c r="E259" s="23"/>
      <c r="F259" s="85"/>
      <c r="G259" s="86"/>
      <c r="H259" s="86"/>
      <c r="I259" s="86"/>
      <c r="J259" s="31" t="s">
        <v>521</v>
      </c>
      <c r="K259" s="31" t="s">
        <v>112</v>
      </c>
      <c r="L259" s="16" t="s">
        <v>113</v>
      </c>
      <c r="M259" s="221">
        <f t="shared" si="54"/>
        <v>0</v>
      </c>
      <c r="N259" s="222"/>
      <c r="O259" s="222"/>
      <c r="P259" s="223"/>
    </row>
    <row r="260" spans="1:16" ht="12" hidden="1" customHeight="1" x14ac:dyDescent="0.2">
      <c r="A260" s="22"/>
      <c r="B260" s="16"/>
      <c r="C260" s="16"/>
      <c r="D260" s="16"/>
      <c r="E260" s="23"/>
      <c r="F260" s="85"/>
      <c r="G260" s="86"/>
      <c r="H260" s="86"/>
      <c r="I260" s="86"/>
      <c r="J260" s="31" t="s">
        <v>521</v>
      </c>
      <c r="K260" s="31" t="s">
        <v>114</v>
      </c>
      <c r="L260" s="16" t="s">
        <v>530</v>
      </c>
      <c r="M260" s="221"/>
      <c r="N260" s="222"/>
      <c r="O260" s="222"/>
      <c r="P260" s="223"/>
    </row>
    <row r="261" spans="1:16" ht="12" hidden="1" customHeight="1" x14ac:dyDescent="0.2">
      <c r="A261" s="22"/>
      <c r="B261" s="16"/>
      <c r="C261" s="16"/>
      <c r="D261" s="16"/>
      <c r="E261" s="23"/>
      <c r="F261" s="85"/>
      <c r="G261" s="92"/>
      <c r="H261" s="92"/>
      <c r="I261" s="92"/>
      <c r="J261" s="31" t="s">
        <v>521</v>
      </c>
      <c r="K261" s="31" t="s">
        <v>115</v>
      </c>
      <c r="L261" s="16" t="s">
        <v>116</v>
      </c>
      <c r="M261" s="221">
        <f t="shared" si="54"/>
        <v>0</v>
      </c>
      <c r="N261" s="222"/>
      <c r="O261" s="222"/>
      <c r="P261" s="223"/>
    </row>
    <row r="262" spans="1:16" ht="13.5" hidden="1" customHeight="1" x14ac:dyDescent="0.2">
      <c r="A262" s="22"/>
      <c r="B262" s="16"/>
      <c r="C262" s="16"/>
      <c r="D262" s="16"/>
      <c r="E262" s="23"/>
      <c r="F262" s="85"/>
      <c r="G262" s="86"/>
      <c r="H262" s="86"/>
      <c r="I262" s="86"/>
      <c r="J262" s="31" t="s">
        <v>521</v>
      </c>
      <c r="K262" s="31" t="s">
        <v>531</v>
      </c>
      <c r="L262" s="16" t="s">
        <v>532</v>
      </c>
      <c r="M262" s="221">
        <f t="shared" si="54"/>
        <v>0</v>
      </c>
      <c r="N262" s="222"/>
      <c r="O262" s="222"/>
      <c r="P262" s="223"/>
    </row>
    <row r="263" spans="1:16" ht="12" hidden="1" customHeight="1" x14ac:dyDescent="0.2">
      <c r="A263" s="22"/>
      <c r="B263" s="16"/>
      <c r="C263" s="16"/>
      <c r="D263" s="16"/>
      <c r="E263" s="23"/>
      <c r="F263" s="85"/>
      <c r="G263" s="86"/>
      <c r="H263" s="86"/>
      <c r="I263" s="86"/>
      <c r="J263" s="31" t="s">
        <v>521</v>
      </c>
      <c r="K263" s="31" t="s">
        <v>117</v>
      </c>
      <c r="L263" s="16" t="s">
        <v>533</v>
      </c>
      <c r="M263" s="221">
        <f t="shared" si="54"/>
        <v>0</v>
      </c>
      <c r="N263" s="222">
        <v>0</v>
      </c>
      <c r="O263" s="222">
        <v>0</v>
      </c>
      <c r="P263" s="223">
        <v>0</v>
      </c>
    </row>
    <row r="264" spans="1:16" ht="12" hidden="1" customHeight="1" x14ac:dyDescent="0.2">
      <c r="A264" s="22"/>
      <c r="B264" s="16"/>
      <c r="C264" s="16"/>
      <c r="D264" s="16"/>
      <c r="E264" s="23"/>
      <c r="F264" s="85"/>
      <c r="G264" s="86"/>
      <c r="H264" s="86"/>
      <c r="I264" s="86"/>
      <c r="J264" s="31"/>
      <c r="K264" s="31"/>
      <c r="L264" s="51"/>
      <c r="M264" s="221"/>
      <c r="N264" s="222"/>
      <c r="O264" s="222"/>
      <c r="P264" s="223"/>
    </row>
    <row r="265" spans="1:16" ht="12" hidden="1" customHeight="1" x14ac:dyDescent="0.2">
      <c r="A265" s="22"/>
      <c r="B265" s="16"/>
      <c r="C265" s="16"/>
      <c r="D265" s="16"/>
      <c r="E265" s="23"/>
      <c r="F265" s="85"/>
      <c r="G265" s="86"/>
      <c r="H265" s="86"/>
      <c r="I265" s="86"/>
      <c r="J265" s="17" t="s">
        <v>521</v>
      </c>
      <c r="K265" s="17" t="s">
        <v>534</v>
      </c>
      <c r="L265" s="34" t="s">
        <v>118</v>
      </c>
      <c r="M265" s="221"/>
      <c r="N265" s="222"/>
      <c r="O265" s="222"/>
      <c r="P265" s="223"/>
    </row>
    <row r="266" spans="1:16" ht="12" hidden="1" customHeight="1" x14ac:dyDescent="0.2">
      <c r="A266" s="22"/>
      <c r="B266" s="16"/>
      <c r="C266" s="16"/>
      <c r="D266" s="16"/>
      <c r="E266" s="23"/>
      <c r="F266" s="85"/>
      <c r="G266" s="86"/>
      <c r="H266" s="86"/>
      <c r="I266" s="86"/>
      <c r="J266" s="31" t="s">
        <v>521</v>
      </c>
      <c r="K266" s="31" t="s">
        <v>535</v>
      </c>
      <c r="L266" s="16" t="s">
        <v>536</v>
      </c>
      <c r="M266" s="221"/>
      <c r="N266" s="222"/>
      <c r="O266" s="222"/>
      <c r="P266" s="223"/>
    </row>
    <row r="267" spans="1:16" ht="12" hidden="1" customHeight="1" x14ac:dyDescent="0.2">
      <c r="A267" s="22"/>
      <c r="B267" s="16"/>
      <c r="C267" s="16"/>
      <c r="D267" s="16"/>
      <c r="E267" s="23"/>
      <c r="F267" s="85"/>
      <c r="G267" s="86"/>
      <c r="H267" s="86"/>
      <c r="I267" s="86"/>
      <c r="J267" s="31" t="s">
        <v>175</v>
      </c>
      <c r="K267" s="31"/>
      <c r="L267" s="16"/>
      <c r="M267" s="221"/>
      <c r="N267" s="222"/>
      <c r="O267" s="222"/>
      <c r="P267" s="223"/>
    </row>
    <row r="268" spans="1:16" ht="12" hidden="1" customHeight="1" x14ac:dyDescent="0.2">
      <c r="A268" s="22"/>
      <c r="B268" s="16"/>
      <c r="C268" s="16"/>
      <c r="D268" s="16"/>
      <c r="E268" s="23"/>
      <c r="F268" s="85"/>
      <c r="G268" s="86"/>
      <c r="H268" s="86"/>
      <c r="I268" s="86"/>
      <c r="J268" s="31" t="s">
        <v>175</v>
      </c>
      <c r="K268" s="17" t="s">
        <v>537</v>
      </c>
      <c r="L268" s="34" t="s">
        <v>538</v>
      </c>
      <c r="M268" s="221"/>
      <c r="N268" s="222"/>
      <c r="O268" s="222"/>
      <c r="P268" s="223"/>
    </row>
    <row r="269" spans="1:16" ht="12" hidden="1" customHeight="1" x14ac:dyDescent="0.2">
      <c r="A269" s="22"/>
      <c r="B269" s="16"/>
      <c r="C269" s="35" t="s">
        <v>539</v>
      </c>
      <c r="D269" s="16" t="s">
        <v>540</v>
      </c>
      <c r="E269" s="23"/>
      <c r="F269" s="85">
        <f>SUM(G269:I269)</f>
        <v>0</v>
      </c>
      <c r="G269" s="92">
        <f>+N269</f>
        <v>0</v>
      </c>
      <c r="H269" s="86"/>
      <c r="I269" s="86"/>
      <c r="J269" s="31" t="s">
        <v>539</v>
      </c>
      <c r="K269" s="31" t="s">
        <v>541</v>
      </c>
      <c r="L269" s="16" t="s">
        <v>540</v>
      </c>
      <c r="M269" s="221"/>
      <c r="N269" s="222"/>
      <c r="O269" s="222"/>
      <c r="P269" s="223"/>
    </row>
    <row r="270" spans="1:16" ht="12" hidden="1" customHeight="1" x14ac:dyDescent="0.2">
      <c r="A270" s="22"/>
      <c r="B270" s="16"/>
      <c r="C270" s="35" t="s">
        <v>542</v>
      </c>
      <c r="D270" s="16" t="s">
        <v>498</v>
      </c>
      <c r="E270" s="23"/>
      <c r="F270" s="85">
        <f>SUM(G270:I270)</f>
        <v>0</v>
      </c>
      <c r="G270" s="92">
        <f>+N270+N271</f>
        <v>0</v>
      </c>
      <c r="H270" s="86"/>
      <c r="I270" s="86"/>
      <c r="J270" s="31" t="s">
        <v>542</v>
      </c>
      <c r="K270" s="31" t="s">
        <v>543</v>
      </c>
      <c r="L270" s="16" t="s">
        <v>544</v>
      </c>
      <c r="M270" s="221"/>
      <c r="N270" s="222"/>
      <c r="O270" s="222"/>
      <c r="P270" s="223"/>
    </row>
    <row r="271" spans="1:16" ht="12" hidden="1" customHeight="1" x14ac:dyDescent="0.2">
      <c r="A271" s="22"/>
      <c r="B271" s="16"/>
      <c r="C271" s="35"/>
      <c r="D271" s="16"/>
      <c r="E271" s="23"/>
      <c r="F271" s="85"/>
      <c r="G271" s="86"/>
      <c r="H271" s="86"/>
      <c r="I271" s="86"/>
      <c r="J271" s="31" t="s">
        <v>542</v>
      </c>
      <c r="K271" s="31" t="s">
        <v>545</v>
      </c>
      <c r="L271" s="16" t="s">
        <v>546</v>
      </c>
      <c r="M271" s="221"/>
      <c r="N271" s="222"/>
      <c r="O271" s="222"/>
      <c r="P271" s="223"/>
    </row>
    <row r="272" spans="1:16" ht="12" hidden="1" customHeight="1" x14ac:dyDescent="0.2">
      <c r="A272" s="22"/>
      <c r="B272" s="16"/>
      <c r="C272" s="35"/>
      <c r="D272" s="16"/>
      <c r="E272" s="23"/>
      <c r="F272" s="85"/>
      <c r="G272" s="86"/>
      <c r="H272" s="86"/>
      <c r="I272" s="86"/>
      <c r="J272" s="35"/>
      <c r="K272" s="16"/>
      <c r="L272" s="16"/>
      <c r="M272" s="221"/>
      <c r="N272" s="222"/>
      <c r="O272" s="222"/>
      <c r="P272" s="223"/>
    </row>
    <row r="273" spans="1:16" ht="12" customHeight="1" x14ac:dyDescent="0.2">
      <c r="A273" s="22"/>
      <c r="B273" s="16"/>
      <c r="C273" s="16"/>
      <c r="D273" s="16"/>
      <c r="E273" s="23"/>
      <c r="F273" s="88"/>
      <c r="G273" s="89"/>
      <c r="H273" s="89"/>
      <c r="I273" s="89"/>
      <c r="J273" s="31" t="s">
        <v>175</v>
      </c>
      <c r="K273" s="17" t="s">
        <v>534</v>
      </c>
      <c r="L273" s="34" t="s">
        <v>118</v>
      </c>
      <c r="M273" s="227">
        <f>SUM(N273:P273)</f>
        <v>709187.28</v>
      </c>
      <c r="N273" s="228">
        <f>SUM(N274:N276)</f>
        <v>0</v>
      </c>
      <c r="O273" s="228">
        <f t="shared" ref="O273:P273" si="55">SUM(O274:O276)</f>
        <v>709187.28</v>
      </c>
      <c r="P273" s="229">
        <f t="shared" si="55"/>
        <v>0</v>
      </c>
    </row>
    <row r="274" spans="1:16" ht="12" customHeight="1" x14ac:dyDescent="0.2">
      <c r="A274" s="22"/>
      <c r="B274" s="16"/>
      <c r="C274" s="35" t="s">
        <v>547</v>
      </c>
      <c r="D274" s="16" t="s">
        <v>548</v>
      </c>
      <c r="E274" s="23"/>
      <c r="F274" s="85">
        <f>SUM(G274:I274)</f>
        <v>709187.28</v>
      </c>
      <c r="G274" s="92">
        <f>+N274</f>
        <v>0</v>
      </c>
      <c r="H274" s="92">
        <f>+O274</f>
        <v>709187.28</v>
      </c>
      <c r="I274" s="92">
        <f>+P274</f>
        <v>0</v>
      </c>
      <c r="J274" s="35" t="s">
        <v>547</v>
      </c>
      <c r="K274" s="31" t="s">
        <v>119</v>
      </c>
      <c r="L274" s="16" t="s">
        <v>120</v>
      </c>
      <c r="M274" s="221"/>
      <c r="N274" s="222"/>
      <c r="O274" s="222">
        <v>709187.28</v>
      </c>
      <c r="P274" s="223"/>
    </row>
    <row r="275" spans="1:16" ht="12" hidden="1" customHeight="1" x14ac:dyDescent="0.2">
      <c r="A275" s="22"/>
      <c r="B275" s="16"/>
      <c r="C275" s="35" t="s">
        <v>549</v>
      </c>
      <c r="D275" s="16" t="s">
        <v>550</v>
      </c>
      <c r="E275" s="23"/>
      <c r="F275" s="85">
        <f>SUM(G275:I275)</f>
        <v>0</v>
      </c>
      <c r="G275" s="92">
        <f>+O275+O276</f>
        <v>0</v>
      </c>
      <c r="H275" s="86"/>
      <c r="I275" s="86"/>
      <c r="J275" s="35" t="s">
        <v>549</v>
      </c>
      <c r="K275" s="31" t="s">
        <v>551</v>
      </c>
      <c r="L275" s="16" t="s">
        <v>552</v>
      </c>
      <c r="M275" s="221"/>
      <c r="N275" s="222"/>
      <c r="O275" s="222"/>
      <c r="P275" s="223"/>
    </row>
    <row r="276" spans="1:16" ht="12" hidden="1" customHeight="1" x14ac:dyDescent="0.2">
      <c r="A276" s="22"/>
      <c r="B276" s="16"/>
      <c r="C276" s="16"/>
      <c r="D276" s="16"/>
      <c r="E276" s="23"/>
      <c r="F276" s="85"/>
      <c r="G276" s="86"/>
      <c r="H276" s="86"/>
      <c r="I276" s="86"/>
      <c r="J276" s="35" t="s">
        <v>549</v>
      </c>
      <c r="K276" s="31" t="s">
        <v>553</v>
      </c>
      <c r="L276" s="16" t="s">
        <v>554</v>
      </c>
      <c r="M276" s="221"/>
      <c r="N276" s="222"/>
      <c r="O276" s="222"/>
      <c r="P276" s="223"/>
    </row>
    <row r="277" spans="1:16" ht="12" hidden="1" customHeight="1" x14ac:dyDescent="0.2">
      <c r="A277" s="22"/>
      <c r="B277" s="16"/>
      <c r="C277" s="16"/>
      <c r="D277" s="16"/>
      <c r="E277" s="23"/>
      <c r="F277" s="85"/>
      <c r="G277" s="86"/>
      <c r="H277" s="86"/>
      <c r="I277" s="86"/>
      <c r="J277" s="31"/>
      <c r="K277" s="31"/>
      <c r="L277" s="16"/>
      <c r="M277" s="221"/>
      <c r="N277" s="222"/>
      <c r="O277" s="222"/>
      <c r="P277" s="223"/>
    </row>
    <row r="278" spans="1:16" ht="12" hidden="1" customHeight="1" x14ac:dyDescent="0.2">
      <c r="A278" s="22"/>
      <c r="B278" s="16"/>
      <c r="C278" s="16"/>
      <c r="D278" s="16"/>
      <c r="E278" s="23"/>
      <c r="F278" s="85"/>
      <c r="G278" s="86"/>
      <c r="H278" s="86"/>
      <c r="I278" s="86"/>
      <c r="J278" s="31"/>
      <c r="K278" s="31"/>
      <c r="L278" s="16"/>
      <c r="M278" s="221"/>
      <c r="N278" s="222"/>
      <c r="O278" s="222"/>
      <c r="P278" s="223"/>
    </row>
    <row r="279" spans="1:16" ht="12" hidden="1" customHeight="1" x14ac:dyDescent="0.2">
      <c r="A279" s="22"/>
      <c r="B279" s="33" t="s">
        <v>555</v>
      </c>
      <c r="C279" s="27" t="s">
        <v>556</v>
      </c>
      <c r="D279" s="16"/>
      <c r="E279" s="23"/>
      <c r="F279" s="85"/>
      <c r="G279" s="86"/>
      <c r="H279" s="86"/>
      <c r="I279" s="86"/>
      <c r="J279" s="17" t="s">
        <v>555</v>
      </c>
      <c r="K279" s="17">
        <v>7</v>
      </c>
      <c r="L279" s="53" t="s">
        <v>556</v>
      </c>
      <c r="M279" s="221"/>
      <c r="N279" s="222"/>
      <c r="O279" s="222"/>
      <c r="P279" s="223"/>
    </row>
    <row r="280" spans="1:16" ht="12" hidden="1" customHeight="1" x14ac:dyDescent="0.2">
      <c r="A280" s="22"/>
      <c r="B280" s="16"/>
      <c r="C280" s="16"/>
      <c r="D280" s="16"/>
      <c r="E280" s="23"/>
      <c r="F280" s="85"/>
      <c r="G280" s="86"/>
      <c r="H280" s="86"/>
      <c r="I280" s="86"/>
      <c r="J280" s="31"/>
      <c r="K280" s="31"/>
      <c r="L280" s="32"/>
      <c r="M280" s="221"/>
      <c r="N280" s="222"/>
      <c r="O280" s="222"/>
      <c r="P280" s="223"/>
    </row>
    <row r="281" spans="1:16" ht="12" hidden="1" customHeight="1" x14ac:dyDescent="0.2">
      <c r="A281" s="22"/>
      <c r="B281" s="16"/>
      <c r="C281" s="35" t="s">
        <v>557</v>
      </c>
      <c r="D281" s="16" t="s">
        <v>558</v>
      </c>
      <c r="E281" s="23"/>
      <c r="F281" s="85"/>
      <c r="G281" s="86"/>
      <c r="H281" s="86"/>
      <c r="I281" s="86"/>
      <c r="J281" s="17" t="s">
        <v>557</v>
      </c>
      <c r="K281" s="17" t="s">
        <v>559</v>
      </c>
      <c r="L281" s="34" t="s">
        <v>560</v>
      </c>
      <c r="M281" s="221"/>
      <c r="N281" s="222"/>
      <c r="O281" s="222"/>
      <c r="P281" s="223"/>
    </row>
    <row r="282" spans="1:16" ht="12" hidden="1" customHeight="1" x14ac:dyDescent="0.2">
      <c r="A282" s="22"/>
      <c r="B282" s="16"/>
      <c r="C282" s="35"/>
      <c r="D282" s="16"/>
      <c r="E282" s="23"/>
      <c r="F282" s="85"/>
      <c r="G282" s="86"/>
      <c r="H282" s="86"/>
      <c r="I282" s="86"/>
      <c r="J282" s="31" t="s">
        <v>557</v>
      </c>
      <c r="K282" s="31" t="s">
        <v>561</v>
      </c>
      <c r="L282" s="32" t="s">
        <v>562</v>
      </c>
      <c r="M282" s="221"/>
      <c r="N282" s="222"/>
      <c r="O282" s="222"/>
      <c r="P282" s="223"/>
    </row>
    <row r="283" spans="1:16" ht="12" hidden="1" customHeight="1" x14ac:dyDescent="0.2">
      <c r="A283" s="22"/>
      <c r="B283" s="16"/>
      <c r="C283" s="35"/>
      <c r="D283" s="16"/>
      <c r="E283" s="23"/>
      <c r="F283" s="85"/>
      <c r="G283" s="86"/>
      <c r="H283" s="86"/>
      <c r="I283" s="86"/>
      <c r="J283" s="31" t="s">
        <v>557</v>
      </c>
      <c r="K283" s="31" t="s">
        <v>563</v>
      </c>
      <c r="L283" s="32" t="s">
        <v>564</v>
      </c>
      <c r="M283" s="221"/>
      <c r="N283" s="222"/>
      <c r="O283" s="222"/>
      <c r="P283" s="223"/>
    </row>
    <row r="284" spans="1:16" ht="12" hidden="1" customHeight="1" x14ac:dyDescent="0.2">
      <c r="A284" s="22"/>
      <c r="B284" s="16"/>
      <c r="C284" s="35"/>
      <c r="D284" s="16"/>
      <c r="E284" s="23"/>
      <c r="F284" s="85"/>
      <c r="G284" s="86"/>
      <c r="H284" s="86"/>
      <c r="I284" s="86"/>
      <c r="J284" s="31" t="s">
        <v>557</v>
      </c>
      <c r="K284" s="31" t="s">
        <v>565</v>
      </c>
      <c r="L284" s="32" t="s">
        <v>566</v>
      </c>
      <c r="M284" s="221"/>
      <c r="N284" s="222"/>
      <c r="O284" s="222"/>
      <c r="P284" s="223"/>
    </row>
    <row r="285" spans="1:16" ht="12" hidden="1" customHeight="1" x14ac:dyDescent="0.2">
      <c r="A285" s="22"/>
      <c r="B285" s="16"/>
      <c r="C285" s="35"/>
      <c r="D285" s="16"/>
      <c r="E285" s="23"/>
      <c r="F285" s="85"/>
      <c r="G285" s="86"/>
      <c r="H285" s="86"/>
      <c r="I285" s="86"/>
      <c r="J285" s="31" t="s">
        <v>557</v>
      </c>
      <c r="K285" s="31" t="s">
        <v>567</v>
      </c>
      <c r="L285" s="32" t="s">
        <v>568</v>
      </c>
      <c r="M285" s="221"/>
      <c r="N285" s="222"/>
      <c r="O285" s="222"/>
      <c r="P285" s="223"/>
    </row>
    <row r="286" spans="1:16" ht="12" hidden="1" customHeight="1" x14ac:dyDescent="0.2">
      <c r="A286" s="22"/>
      <c r="B286" s="16"/>
      <c r="C286" s="35"/>
      <c r="D286" s="16"/>
      <c r="E286" s="23"/>
      <c r="F286" s="85"/>
      <c r="G286" s="86"/>
      <c r="H286" s="86"/>
      <c r="I286" s="86"/>
      <c r="J286" s="31" t="s">
        <v>557</v>
      </c>
      <c r="K286" s="31" t="s">
        <v>569</v>
      </c>
      <c r="L286" s="32" t="s">
        <v>570</v>
      </c>
      <c r="M286" s="221"/>
      <c r="N286" s="222"/>
      <c r="O286" s="222"/>
      <c r="P286" s="223"/>
    </row>
    <row r="287" spans="1:16" ht="12" hidden="1" customHeight="1" x14ac:dyDescent="0.2">
      <c r="A287" s="22"/>
      <c r="B287" s="16"/>
      <c r="C287" s="35"/>
      <c r="D287" s="16"/>
      <c r="E287" s="23"/>
      <c r="F287" s="85"/>
      <c r="G287" s="86"/>
      <c r="H287" s="86"/>
      <c r="I287" s="86"/>
      <c r="J287" s="31" t="s">
        <v>557</v>
      </c>
      <c r="K287" s="31" t="s">
        <v>571</v>
      </c>
      <c r="L287" s="32" t="s">
        <v>572</v>
      </c>
      <c r="M287" s="221"/>
      <c r="N287" s="222"/>
      <c r="O287" s="222"/>
      <c r="P287" s="223"/>
    </row>
    <row r="288" spans="1:16" ht="12" hidden="1" customHeight="1" x14ac:dyDescent="0.2">
      <c r="A288" s="22"/>
      <c r="B288" s="16"/>
      <c r="C288" s="35"/>
      <c r="D288" s="16"/>
      <c r="E288" s="23"/>
      <c r="F288" s="85"/>
      <c r="G288" s="86"/>
      <c r="H288" s="86"/>
      <c r="I288" s="86"/>
      <c r="J288" s="31" t="s">
        <v>557</v>
      </c>
      <c r="K288" s="31" t="s">
        <v>573</v>
      </c>
      <c r="L288" s="32" t="s">
        <v>574</v>
      </c>
      <c r="M288" s="221"/>
      <c r="N288" s="222"/>
      <c r="O288" s="222"/>
      <c r="P288" s="223"/>
    </row>
    <row r="289" spans="1:19" ht="12" hidden="1" customHeight="1" x14ac:dyDescent="0.2">
      <c r="A289" s="22"/>
      <c r="B289" s="16"/>
      <c r="C289" s="35"/>
      <c r="D289" s="16"/>
      <c r="E289" s="23"/>
      <c r="F289" s="85"/>
      <c r="G289" s="86"/>
      <c r="H289" s="86"/>
      <c r="I289" s="86"/>
      <c r="J289" s="31"/>
      <c r="K289" s="31"/>
      <c r="L289" s="32"/>
      <c r="M289" s="221"/>
      <c r="N289" s="222"/>
      <c r="O289" s="222"/>
      <c r="P289" s="223"/>
    </row>
    <row r="290" spans="1:19" ht="12" hidden="1" customHeight="1" x14ac:dyDescent="0.2">
      <c r="A290" s="22"/>
      <c r="B290" s="16"/>
      <c r="C290" s="35" t="s">
        <v>575</v>
      </c>
      <c r="D290" s="16" t="s">
        <v>576</v>
      </c>
      <c r="E290" s="23"/>
      <c r="F290" s="85"/>
      <c r="G290" s="86"/>
      <c r="H290" s="86"/>
      <c r="I290" s="86"/>
      <c r="J290" s="33" t="s">
        <v>575</v>
      </c>
      <c r="K290" s="17" t="s">
        <v>577</v>
      </c>
      <c r="L290" s="34" t="s">
        <v>578</v>
      </c>
      <c r="M290" s="221"/>
      <c r="N290" s="222"/>
      <c r="O290" s="222"/>
      <c r="P290" s="223"/>
    </row>
    <row r="291" spans="1:19" ht="12" hidden="1" customHeight="1" x14ac:dyDescent="0.2">
      <c r="A291" s="22"/>
      <c r="B291" s="16"/>
      <c r="C291" s="35"/>
      <c r="D291" s="16" t="s">
        <v>175</v>
      </c>
      <c r="E291" s="23"/>
      <c r="F291" s="85"/>
      <c r="G291" s="98"/>
      <c r="H291" s="86"/>
      <c r="I291" s="86"/>
      <c r="J291" s="35" t="s">
        <v>575</v>
      </c>
      <c r="K291" s="31" t="s">
        <v>579</v>
      </c>
      <c r="L291" s="32" t="s">
        <v>580</v>
      </c>
      <c r="M291" s="221"/>
      <c r="N291" s="237"/>
      <c r="O291" s="222"/>
      <c r="P291" s="223"/>
    </row>
    <row r="292" spans="1:19" ht="12" hidden="1" customHeight="1" x14ac:dyDescent="0.2">
      <c r="A292" s="22"/>
      <c r="B292" s="16"/>
      <c r="C292" s="35"/>
      <c r="D292" s="16"/>
      <c r="E292" s="23"/>
      <c r="F292" s="85"/>
      <c r="G292" s="98"/>
      <c r="H292" s="86"/>
      <c r="I292" s="86"/>
      <c r="J292" s="35" t="s">
        <v>575</v>
      </c>
      <c r="K292" s="17" t="s">
        <v>581</v>
      </c>
      <c r="L292" s="34" t="s">
        <v>582</v>
      </c>
      <c r="M292" s="221"/>
      <c r="N292" s="237"/>
      <c r="O292" s="222"/>
      <c r="P292" s="223"/>
    </row>
    <row r="293" spans="1:19" s="16" customFormat="1" ht="12" hidden="1" customHeight="1" x14ac:dyDescent="0.2">
      <c r="A293" s="22"/>
      <c r="C293" s="35"/>
      <c r="E293" s="23"/>
      <c r="F293" s="85"/>
      <c r="G293" s="98"/>
      <c r="H293" s="86"/>
      <c r="I293" s="86"/>
      <c r="J293" s="35" t="s">
        <v>575</v>
      </c>
      <c r="K293" s="31" t="s">
        <v>583</v>
      </c>
      <c r="L293" s="32" t="s">
        <v>584</v>
      </c>
      <c r="M293" s="221"/>
      <c r="N293" s="237"/>
      <c r="O293" s="222"/>
      <c r="P293" s="223"/>
      <c r="Q293" s="176"/>
      <c r="R293" s="21"/>
      <c r="S293" s="21"/>
    </row>
    <row r="294" spans="1:19" ht="12" hidden="1" customHeight="1" x14ac:dyDescent="0.2">
      <c r="A294" s="22"/>
      <c r="B294" s="16"/>
      <c r="C294" s="35"/>
      <c r="D294" s="16"/>
      <c r="E294" s="23"/>
      <c r="F294" s="85"/>
      <c r="G294" s="98"/>
      <c r="H294" s="86"/>
      <c r="I294" s="86"/>
      <c r="J294" s="35" t="s">
        <v>575</v>
      </c>
      <c r="K294" s="31" t="s">
        <v>585</v>
      </c>
      <c r="L294" s="32" t="s">
        <v>586</v>
      </c>
      <c r="M294" s="221"/>
      <c r="N294" s="237"/>
      <c r="O294" s="222"/>
      <c r="P294" s="223"/>
    </row>
    <row r="295" spans="1:19" ht="12" hidden="1" customHeight="1" x14ac:dyDescent="0.2">
      <c r="A295" s="22"/>
      <c r="B295" s="16"/>
      <c r="C295" s="35"/>
      <c r="D295" s="16"/>
      <c r="E295" s="23"/>
      <c r="F295" s="85"/>
      <c r="G295" s="98"/>
      <c r="H295" s="86"/>
      <c r="I295" s="86"/>
      <c r="J295" s="35" t="s">
        <v>575</v>
      </c>
      <c r="K295" s="31" t="s">
        <v>587</v>
      </c>
      <c r="L295" s="32" t="s">
        <v>588</v>
      </c>
      <c r="M295" s="221"/>
      <c r="N295" s="237"/>
      <c r="O295" s="222"/>
      <c r="P295" s="223"/>
    </row>
    <row r="296" spans="1:19" ht="12" hidden="1" customHeight="1" x14ac:dyDescent="0.2">
      <c r="A296" s="22"/>
      <c r="B296" s="16"/>
      <c r="C296" s="35"/>
      <c r="D296" s="16" t="s">
        <v>175</v>
      </c>
      <c r="E296" s="23"/>
      <c r="F296" s="85"/>
      <c r="G296" s="98"/>
      <c r="H296" s="86"/>
      <c r="I296" s="86"/>
      <c r="J296" s="35" t="s">
        <v>575</v>
      </c>
      <c r="K296" s="31" t="s">
        <v>589</v>
      </c>
      <c r="L296" s="32" t="s">
        <v>590</v>
      </c>
      <c r="M296" s="221"/>
      <c r="N296" s="237"/>
      <c r="O296" s="222"/>
      <c r="P296" s="223"/>
    </row>
    <row r="297" spans="1:19" ht="12" hidden="1" customHeight="1" x14ac:dyDescent="0.2">
      <c r="A297" s="22"/>
      <c r="B297" s="16"/>
      <c r="C297" s="35"/>
      <c r="D297" s="16"/>
      <c r="E297" s="23"/>
      <c r="F297" s="85"/>
      <c r="G297" s="98"/>
      <c r="H297" s="86"/>
      <c r="I297" s="86"/>
      <c r="J297" s="35" t="s">
        <v>575</v>
      </c>
      <c r="K297" s="17" t="s">
        <v>591</v>
      </c>
      <c r="L297" s="34" t="s">
        <v>592</v>
      </c>
      <c r="M297" s="221"/>
      <c r="N297" s="237"/>
      <c r="O297" s="222"/>
      <c r="P297" s="223"/>
    </row>
    <row r="298" spans="1:19" ht="12" hidden="1" customHeight="1" x14ac:dyDescent="0.2">
      <c r="A298" s="62" t="s">
        <v>175</v>
      </c>
      <c r="B298" s="16"/>
      <c r="C298" s="35"/>
      <c r="D298" s="16"/>
      <c r="E298" s="23"/>
      <c r="F298" s="85"/>
      <c r="G298" s="98"/>
      <c r="H298" s="86"/>
      <c r="I298" s="86"/>
      <c r="J298" s="35" t="s">
        <v>575</v>
      </c>
      <c r="K298" s="31" t="s">
        <v>593</v>
      </c>
      <c r="L298" s="32" t="s">
        <v>594</v>
      </c>
      <c r="M298" s="221"/>
      <c r="N298" s="237"/>
      <c r="O298" s="222"/>
      <c r="P298" s="223"/>
    </row>
    <row r="299" spans="1:19" ht="12" hidden="1" customHeight="1" x14ac:dyDescent="0.2">
      <c r="A299" s="22"/>
      <c r="B299" s="16"/>
      <c r="C299" s="35"/>
      <c r="D299" s="16"/>
      <c r="E299" s="23"/>
      <c r="F299" s="85"/>
      <c r="G299" s="98"/>
      <c r="H299" s="86"/>
      <c r="I299" s="86"/>
      <c r="J299" s="31"/>
      <c r="K299" s="31"/>
      <c r="L299" s="32"/>
      <c r="M299" s="221"/>
      <c r="N299" s="237"/>
      <c r="O299" s="222"/>
      <c r="P299" s="223"/>
    </row>
    <row r="300" spans="1:19" ht="12" hidden="1" customHeight="1" x14ac:dyDescent="0.2">
      <c r="A300" s="22"/>
      <c r="B300" s="16"/>
      <c r="C300" s="16"/>
      <c r="D300" s="16"/>
      <c r="E300" s="23"/>
      <c r="F300" s="85"/>
      <c r="G300" s="86"/>
      <c r="H300" s="86"/>
      <c r="I300" s="86"/>
      <c r="J300" s="31"/>
      <c r="K300" s="32"/>
      <c r="L300" s="16"/>
      <c r="M300" s="221"/>
      <c r="N300" s="222"/>
      <c r="O300" s="222"/>
      <c r="P300" s="223"/>
    </row>
    <row r="301" spans="1:19" ht="12" hidden="1" customHeight="1" thickBot="1" x14ac:dyDescent="0.25">
      <c r="A301" s="47"/>
      <c r="B301" s="48"/>
      <c r="C301" s="48"/>
      <c r="D301" s="48"/>
      <c r="E301" s="49"/>
      <c r="F301" s="97"/>
      <c r="G301" s="99"/>
      <c r="H301" s="100"/>
      <c r="I301" s="100"/>
      <c r="J301" s="50"/>
      <c r="K301" s="52"/>
      <c r="L301" s="63"/>
      <c r="M301" s="238"/>
      <c r="N301" s="239"/>
      <c r="O301" s="240"/>
      <c r="P301" s="241"/>
    </row>
    <row r="302" spans="1:19" ht="12" hidden="1" customHeight="1" x14ac:dyDescent="0.2">
      <c r="A302" s="22"/>
      <c r="B302" s="16"/>
      <c r="C302" s="16"/>
      <c r="D302" s="16"/>
      <c r="E302" s="23"/>
      <c r="F302" s="85"/>
      <c r="G302" s="98"/>
      <c r="H302" s="86"/>
      <c r="I302" s="113"/>
      <c r="J302" s="35"/>
      <c r="K302" s="31"/>
      <c r="L302" s="32"/>
      <c r="M302" s="221"/>
      <c r="N302" s="237"/>
      <c r="O302" s="222"/>
      <c r="P302" s="223"/>
    </row>
    <row r="303" spans="1:19" ht="12" hidden="1" customHeight="1" x14ac:dyDescent="0.2">
      <c r="A303" s="22"/>
      <c r="B303" s="16"/>
      <c r="C303" s="35" t="s">
        <v>595</v>
      </c>
      <c r="D303" s="16" t="s">
        <v>596</v>
      </c>
      <c r="E303" s="23"/>
      <c r="F303" s="85"/>
      <c r="G303" s="98"/>
      <c r="H303" s="86"/>
      <c r="I303" s="113"/>
      <c r="J303" s="33" t="s">
        <v>595</v>
      </c>
      <c r="K303" s="17" t="s">
        <v>597</v>
      </c>
      <c r="L303" s="34" t="s">
        <v>598</v>
      </c>
      <c r="M303" s="221"/>
      <c r="N303" s="237"/>
      <c r="O303" s="222"/>
      <c r="P303" s="223"/>
    </row>
    <row r="304" spans="1:19" ht="12" hidden="1" customHeight="1" x14ac:dyDescent="0.2">
      <c r="A304" s="22"/>
      <c r="B304" s="16"/>
      <c r="C304" s="16"/>
      <c r="D304" s="16"/>
      <c r="E304" s="23"/>
      <c r="F304" s="85"/>
      <c r="G304" s="98"/>
      <c r="H304" s="86"/>
      <c r="I304" s="113"/>
      <c r="J304" s="35" t="s">
        <v>595</v>
      </c>
      <c r="K304" s="31" t="s">
        <v>599</v>
      </c>
      <c r="L304" s="32" t="s">
        <v>600</v>
      </c>
      <c r="M304" s="221"/>
      <c r="N304" s="237"/>
      <c r="O304" s="222"/>
      <c r="P304" s="223"/>
    </row>
    <row r="305" spans="1:16" ht="12" hidden="1" customHeight="1" x14ac:dyDescent="0.2">
      <c r="A305" s="22"/>
      <c r="B305" s="16"/>
      <c r="C305" s="16"/>
      <c r="D305" s="16"/>
      <c r="E305" s="23"/>
      <c r="F305" s="85"/>
      <c r="G305" s="98"/>
      <c r="H305" s="86"/>
      <c r="I305" s="113"/>
      <c r="J305" s="35" t="s">
        <v>595</v>
      </c>
      <c r="K305" s="31" t="s">
        <v>601</v>
      </c>
      <c r="L305" s="32" t="s">
        <v>602</v>
      </c>
      <c r="M305" s="221"/>
      <c r="N305" s="237"/>
      <c r="O305" s="222"/>
      <c r="P305" s="223"/>
    </row>
    <row r="306" spans="1:16" ht="12" hidden="1" customHeight="1" x14ac:dyDescent="0.2">
      <c r="A306" s="22"/>
      <c r="B306" s="16"/>
      <c r="C306" s="16"/>
      <c r="D306" s="16"/>
      <c r="E306" s="23"/>
      <c r="F306" s="85"/>
      <c r="G306" s="98"/>
      <c r="H306" s="86"/>
      <c r="I306" s="113"/>
      <c r="J306" s="17"/>
      <c r="K306" s="17"/>
      <c r="L306" s="16"/>
      <c r="M306" s="221"/>
      <c r="N306" s="237"/>
      <c r="O306" s="222"/>
      <c r="P306" s="223"/>
    </row>
    <row r="307" spans="1:16" ht="12" hidden="1" customHeight="1" x14ac:dyDescent="0.2">
      <c r="A307" s="22"/>
      <c r="B307" s="16"/>
      <c r="C307" s="16"/>
      <c r="D307" s="27"/>
      <c r="E307" s="28"/>
      <c r="F307" s="85"/>
      <c r="G307" s="98"/>
      <c r="H307" s="86"/>
      <c r="I307" s="113"/>
      <c r="J307" s="31"/>
      <c r="K307" s="31"/>
      <c r="L307" s="32"/>
      <c r="M307" s="221"/>
      <c r="N307" s="237"/>
      <c r="O307" s="222"/>
      <c r="P307" s="223"/>
    </row>
    <row r="308" spans="1:16" ht="12" hidden="1" customHeight="1" x14ac:dyDescent="0.2">
      <c r="A308" s="26">
        <v>3</v>
      </c>
      <c r="B308" s="27" t="s">
        <v>603</v>
      </c>
      <c r="C308" s="16"/>
      <c r="D308" s="27"/>
      <c r="E308" s="28"/>
      <c r="F308" s="85"/>
      <c r="G308" s="98"/>
      <c r="H308" s="86"/>
      <c r="I308" s="113"/>
      <c r="J308" s="17">
        <v>3</v>
      </c>
      <c r="K308" s="17">
        <v>4</v>
      </c>
      <c r="L308" s="53" t="s">
        <v>604</v>
      </c>
      <c r="M308" s="221"/>
      <c r="N308" s="237"/>
      <c r="O308" s="222"/>
      <c r="P308" s="223"/>
    </row>
    <row r="309" spans="1:16" ht="12" hidden="1" customHeight="1" x14ac:dyDescent="0.2">
      <c r="A309" s="22"/>
      <c r="B309" s="27" t="s">
        <v>175</v>
      </c>
      <c r="C309" s="27"/>
      <c r="D309" s="16"/>
      <c r="E309" s="23"/>
      <c r="F309" s="85"/>
      <c r="G309" s="98"/>
      <c r="H309" s="86"/>
      <c r="I309" s="113"/>
      <c r="J309" s="31"/>
      <c r="K309" s="31"/>
      <c r="L309" s="32"/>
      <c r="M309" s="221"/>
      <c r="N309" s="237"/>
      <c r="O309" s="222"/>
      <c r="P309" s="223"/>
    </row>
    <row r="310" spans="1:16" ht="12" hidden="1" customHeight="1" x14ac:dyDescent="0.2">
      <c r="A310" s="22"/>
      <c r="B310" s="33" t="s">
        <v>605</v>
      </c>
      <c r="C310" s="64" t="s">
        <v>606</v>
      </c>
      <c r="D310" s="16"/>
      <c r="E310" s="65"/>
      <c r="F310" s="85"/>
      <c r="G310" s="98"/>
      <c r="H310" s="86"/>
      <c r="I310" s="113"/>
      <c r="J310" s="17" t="s">
        <v>605</v>
      </c>
      <c r="K310" s="17" t="s">
        <v>607</v>
      </c>
      <c r="L310" s="53" t="s">
        <v>608</v>
      </c>
      <c r="M310" s="221"/>
      <c r="N310" s="237"/>
      <c r="O310" s="222"/>
      <c r="P310" s="223"/>
    </row>
    <row r="311" spans="1:16" ht="12" hidden="1" customHeight="1" x14ac:dyDescent="0.2">
      <c r="A311" s="22"/>
      <c r="B311" s="66"/>
      <c r="C311" s="16"/>
      <c r="D311" s="16"/>
      <c r="E311" s="23"/>
      <c r="F311" s="85"/>
      <c r="G311" s="98"/>
      <c r="H311" s="86"/>
      <c r="I311" s="113"/>
      <c r="J311" s="31" t="s">
        <v>605</v>
      </c>
      <c r="K311" s="31" t="s">
        <v>609</v>
      </c>
      <c r="L311" s="32" t="s">
        <v>610</v>
      </c>
      <c r="M311" s="221"/>
      <c r="N311" s="237"/>
      <c r="O311" s="222"/>
      <c r="P311" s="223"/>
    </row>
    <row r="312" spans="1:16" ht="12" hidden="1" customHeight="1" x14ac:dyDescent="0.2">
      <c r="A312" s="22"/>
      <c r="B312" s="16"/>
      <c r="C312" s="16"/>
      <c r="D312" s="16"/>
      <c r="E312" s="23"/>
      <c r="F312" s="85"/>
      <c r="G312" s="98"/>
      <c r="H312" s="86"/>
      <c r="I312" s="113"/>
      <c r="J312" s="31" t="s">
        <v>605</v>
      </c>
      <c r="K312" s="31" t="s">
        <v>611</v>
      </c>
      <c r="L312" s="32" t="s">
        <v>612</v>
      </c>
      <c r="M312" s="221"/>
      <c r="N312" s="237"/>
      <c r="O312" s="222"/>
      <c r="P312" s="223"/>
    </row>
    <row r="313" spans="1:16" ht="12" hidden="1" customHeight="1" x14ac:dyDescent="0.2">
      <c r="A313" s="22"/>
      <c r="B313" s="66"/>
      <c r="C313" s="16"/>
      <c r="D313" s="16"/>
      <c r="E313" s="23"/>
      <c r="F313" s="85"/>
      <c r="G313" s="98"/>
      <c r="H313" s="86"/>
      <c r="I313" s="113"/>
      <c r="J313" s="31" t="s">
        <v>605</v>
      </c>
      <c r="K313" s="31" t="s">
        <v>613</v>
      </c>
      <c r="L313" s="32" t="s">
        <v>614</v>
      </c>
      <c r="M313" s="221"/>
      <c r="N313" s="237"/>
      <c r="O313" s="222"/>
      <c r="P313" s="223"/>
    </row>
    <row r="314" spans="1:16" ht="12" hidden="1" customHeight="1" x14ac:dyDescent="0.2">
      <c r="A314" s="22"/>
      <c r="B314" s="66"/>
      <c r="C314" s="16"/>
      <c r="D314" s="16"/>
      <c r="E314" s="23"/>
      <c r="F314" s="85"/>
      <c r="G314" s="98"/>
      <c r="H314" s="86"/>
      <c r="I314" s="113"/>
      <c r="J314" s="31" t="s">
        <v>605</v>
      </c>
      <c r="K314" s="31" t="s">
        <v>615</v>
      </c>
      <c r="L314" s="32" t="s">
        <v>616</v>
      </c>
      <c r="M314" s="221"/>
      <c r="N314" s="237"/>
      <c r="O314" s="222"/>
      <c r="P314" s="223"/>
    </row>
    <row r="315" spans="1:16" ht="12" hidden="1" customHeight="1" x14ac:dyDescent="0.2">
      <c r="A315" s="22"/>
      <c r="B315" s="66"/>
      <c r="C315" s="16"/>
      <c r="D315" s="16"/>
      <c r="E315" s="23"/>
      <c r="F315" s="85"/>
      <c r="G315" s="98"/>
      <c r="H315" s="86"/>
      <c r="I315" s="113"/>
      <c r="J315" s="31" t="s">
        <v>605</v>
      </c>
      <c r="K315" s="31" t="s">
        <v>617</v>
      </c>
      <c r="L315" s="32" t="s">
        <v>618</v>
      </c>
      <c r="M315" s="221"/>
      <c r="N315" s="237"/>
      <c r="O315" s="222"/>
      <c r="P315" s="223"/>
    </row>
    <row r="316" spans="1:16" ht="12" hidden="1" customHeight="1" x14ac:dyDescent="0.2">
      <c r="A316" s="22"/>
      <c r="B316" s="66"/>
      <c r="C316" s="16"/>
      <c r="D316" s="16"/>
      <c r="E316" s="23"/>
      <c r="F316" s="85"/>
      <c r="G316" s="98"/>
      <c r="H316" s="86"/>
      <c r="I316" s="113"/>
      <c r="J316" s="31" t="s">
        <v>605</v>
      </c>
      <c r="K316" s="31" t="s">
        <v>619</v>
      </c>
      <c r="L316" s="32" t="s">
        <v>620</v>
      </c>
      <c r="M316" s="221"/>
      <c r="N316" s="237"/>
      <c r="O316" s="222"/>
      <c r="P316" s="223"/>
    </row>
    <row r="317" spans="1:16" ht="12" hidden="1" customHeight="1" x14ac:dyDescent="0.2">
      <c r="A317" s="22"/>
      <c r="B317" s="66"/>
      <c r="C317" s="16"/>
      <c r="D317" s="16"/>
      <c r="E317" s="23"/>
      <c r="F317" s="85"/>
      <c r="G317" s="98"/>
      <c r="H317" s="86"/>
      <c r="I317" s="113"/>
      <c r="J317" s="31" t="s">
        <v>605</v>
      </c>
      <c r="K317" s="31" t="s">
        <v>621</v>
      </c>
      <c r="L317" s="32" t="s">
        <v>622</v>
      </c>
      <c r="M317" s="221"/>
      <c r="N317" s="237"/>
      <c r="O317" s="222"/>
      <c r="P317" s="223"/>
    </row>
    <row r="318" spans="1:16" ht="12" hidden="1" customHeight="1" x14ac:dyDescent="0.2">
      <c r="A318" s="22"/>
      <c r="B318" s="66"/>
      <c r="C318" s="16"/>
      <c r="D318" s="16"/>
      <c r="E318" s="23"/>
      <c r="F318" s="85"/>
      <c r="G318" s="98"/>
      <c r="H318" s="86"/>
      <c r="I318" s="113"/>
      <c r="J318" s="31" t="s">
        <v>605</v>
      </c>
      <c r="K318" s="31" t="s">
        <v>623</v>
      </c>
      <c r="L318" s="32" t="s">
        <v>624</v>
      </c>
      <c r="M318" s="221"/>
      <c r="N318" s="237"/>
      <c r="O318" s="222"/>
      <c r="P318" s="223"/>
    </row>
    <row r="319" spans="1:16" ht="12" hidden="1" customHeight="1" x14ac:dyDescent="0.2">
      <c r="A319" s="22"/>
      <c r="B319" s="66"/>
      <c r="C319" s="16"/>
      <c r="D319" s="27"/>
      <c r="E319" s="28"/>
      <c r="F319" s="85"/>
      <c r="G319" s="98"/>
      <c r="H319" s="86"/>
      <c r="I319" s="113"/>
      <c r="J319" s="31"/>
      <c r="K319" s="31"/>
      <c r="L319" s="16"/>
      <c r="M319" s="221"/>
      <c r="N319" s="237"/>
      <c r="O319" s="222"/>
      <c r="P319" s="223"/>
    </row>
    <row r="320" spans="1:16" ht="12" hidden="1" customHeight="1" x14ac:dyDescent="0.2">
      <c r="A320" s="22"/>
      <c r="B320" s="61" t="s">
        <v>625</v>
      </c>
      <c r="C320" s="27" t="s">
        <v>626</v>
      </c>
      <c r="D320" s="67"/>
      <c r="E320" s="23"/>
      <c r="F320" s="85"/>
      <c r="G320" s="98"/>
      <c r="H320" s="86"/>
      <c r="I320" s="113"/>
      <c r="J320" s="17" t="s">
        <v>625</v>
      </c>
      <c r="K320" s="17" t="s">
        <v>627</v>
      </c>
      <c r="L320" s="53" t="s">
        <v>626</v>
      </c>
      <c r="M320" s="221"/>
      <c r="N320" s="237"/>
      <c r="O320" s="222"/>
      <c r="P320" s="223"/>
    </row>
    <row r="321" spans="1:16" ht="12" hidden="1" customHeight="1" x14ac:dyDescent="0.2">
      <c r="A321" s="22"/>
      <c r="B321" s="16"/>
      <c r="C321" s="16"/>
      <c r="D321" s="16"/>
      <c r="E321" s="23"/>
      <c r="F321" s="85"/>
      <c r="G321" s="98"/>
      <c r="H321" s="86"/>
      <c r="I321" s="113"/>
      <c r="J321" s="31" t="s">
        <v>625</v>
      </c>
      <c r="K321" s="31" t="s">
        <v>628</v>
      </c>
      <c r="L321" s="32" t="s">
        <v>629</v>
      </c>
      <c r="M321" s="221"/>
      <c r="N321" s="237"/>
      <c r="O321" s="222"/>
      <c r="P321" s="223"/>
    </row>
    <row r="322" spans="1:16" ht="12" hidden="1" customHeight="1" x14ac:dyDescent="0.2">
      <c r="A322" s="22"/>
      <c r="B322" s="16"/>
      <c r="C322" s="16"/>
      <c r="D322" s="16"/>
      <c r="E322" s="23"/>
      <c r="F322" s="85"/>
      <c r="G322" s="98"/>
      <c r="H322" s="86"/>
      <c r="I322" s="113"/>
      <c r="J322" s="31" t="s">
        <v>625</v>
      </c>
      <c r="K322" s="31" t="s">
        <v>630</v>
      </c>
      <c r="L322" s="32" t="s">
        <v>631</v>
      </c>
      <c r="M322" s="221"/>
      <c r="N322" s="237"/>
      <c r="O322" s="222"/>
      <c r="P322" s="223"/>
    </row>
    <row r="323" spans="1:16" ht="12" hidden="1" customHeight="1" x14ac:dyDescent="0.2">
      <c r="A323" s="22"/>
      <c r="B323" s="16"/>
      <c r="C323" s="16"/>
      <c r="D323" s="16"/>
      <c r="E323" s="23"/>
      <c r="F323" s="85"/>
      <c r="G323" s="98"/>
      <c r="H323" s="86"/>
      <c r="I323" s="113"/>
      <c r="J323" s="31" t="s">
        <v>625</v>
      </c>
      <c r="K323" s="31" t="s">
        <v>632</v>
      </c>
      <c r="L323" s="32" t="s">
        <v>633</v>
      </c>
      <c r="M323" s="221"/>
      <c r="N323" s="237"/>
      <c r="O323" s="222"/>
      <c r="P323" s="223"/>
    </row>
    <row r="324" spans="1:16" ht="12" hidden="1" customHeight="1" x14ac:dyDescent="0.2">
      <c r="A324" s="22"/>
      <c r="B324" s="16"/>
      <c r="C324" s="16"/>
      <c r="D324" s="16"/>
      <c r="E324" s="23"/>
      <c r="F324" s="85"/>
      <c r="G324" s="98"/>
      <c r="H324" s="86"/>
      <c r="I324" s="113"/>
      <c r="J324" s="31" t="s">
        <v>625</v>
      </c>
      <c r="K324" s="31" t="s">
        <v>634</v>
      </c>
      <c r="L324" s="32" t="s">
        <v>635</v>
      </c>
      <c r="M324" s="221"/>
      <c r="N324" s="237"/>
      <c r="O324" s="222"/>
      <c r="P324" s="223"/>
    </row>
    <row r="325" spans="1:16" ht="12" hidden="1" customHeight="1" x14ac:dyDescent="0.2">
      <c r="A325" s="22"/>
      <c r="B325" s="16"/>
      <c r="C325" s="16"/>
      <c r="D325" s="16"/>
      <c r="E325" s="23"/>
      <c r="F325" s="85"/>
      <c r="G325" s="98"/>
      <c r="H325" s="86"/>
      <c r="I325" s="113"/>
      <c r="J325" s="31" t="s">
        <v>625</v>
      </c>
      <c r="K325" s="31" t="s">
        <v>636</v>
      </c>
      <c r="L325" s="32" t="s">
        <v>637</v>
      </c>
      <c r="M325" s="221"/>
      <c r="N325" s="237"/>
      <c r="O325" s="222"/>
      <c r="P325" s="223"/>
    </row>
    <row r="326" spans="1:16" ht="12" hidden="1" customHeight="1" x14ac:dyDescent="0.2">
      <c r="A326" s="22"/>
      <c r="B326" s="16"/>
      <c r="C326" s="16"/>
      <c r="D326" s="16"/>
      <c r="E326" s="23"/>
      <c r="F326" s="85"/>
      <c r="G326" s="98"/>
      <c r="H326" s="86"/>
      <c r="I326" s="113"/>
      <c r="J326" s="31" t="s">
        <v>625</v>
      </c>
      <c r="K326" s="31" t="s">
        <v>638</v>
      </c>
      <c r="L326" s="32" t="s">
        <v>639</v>
      </c>
      <c r="M326" s="221"/>
      <c r="N326" s="237"/>
      <c r="O326" s="222"/>
      <c r="P326" s="223"/>
    </row>
    <row r="327" spans="1:16" ht="12" hidden="1" customHeight="1" x14ac:dyDescent="0.2">
      <c r="A327" s="22"/>
      <c r="B327" s="16"/>
      <c r="C327" s="16"/>
      <c r="D327" s="16"/>
      <c r="E327" s="23"/>
      <c r="F327" s="85"/>
      <c r="G327" s="98"/>
      <c r="H327" s="86"/>
      <c r="I327" s="113"/>
      <c r="J327" s="31" t="s">
        <v>625</v>
      </c>
      <c r="K327" s="31" t="s">
        <v>640</v>
      </c>
      <c r="L327" s="32" t="s">
        <v>641</v>
      </c>
      <c r="M327" s="221"/>
      <c r="N327" s="237"/>
      <c r="O327" s="222"/>
      <c r="P327" s="223"/>
    </row>
    <row r="328" spans="1:16" ht="12" hidden="1" customHeight="1" x14ac:dyDescent="0.2">
      <c r="A328" s="22"/>
      <c r="B328" s="16"/>
      <c r="C328" s="16"/>
      <c r="D328" s="16"/>
      <c r="E328" s="23"/>
      <c r="F328" s="85"/>
      <c r="G328" s="98"/>
      <c r="H328" s="86"/>
      <c r="I328" s="113"/>
      <c r="J328" s="31" t="s">
        <v>625</v>
      </c>
      <c r="K328" s="31" t="s">
        <v>642</v>
      </c>
      <c r="L328" s="32" t="s">
        <v>643</v>
      </c>
      <c r="M328" s="221"/>
      <c r="N328" s="237"/>
      <c r="O328" s="222"/>
      <c r="P328" s="223"/>
    </row>
    <row r="329" spans="1:16" ht="12" hidden="1" customHeight="1" x14ac:dyDescent="0.2">
      <c r="A329" s="22"/>
      <c r="B329" s="16"/>
      <c r="C329" s="16"/>
      <c r="D329" s="16"/>
      <c r="E329" s="23"/>
      <c r="F329" s="85"/>
      <c r="G329" s="98"/>
      <c r="H329" s="86"/>
      <c r="I329" s="113"/>
      <c r="J329" s="31"/>
      <c r="K329" s="31"/>
      <c r="L329" s="16"/>
      <c r="M329" s="221"/>
      <c r="N329" s="237"/>
      <c r="O329" s="222"/>
      <c r="P329" s="223"/>
    </row>
    <row r="330" spans="1:16" ht="12" hidden="1" customHeight="1" x14ac:dyDescent="0.2">
      <c r="A330" s="22"/>
      <c r="B330" s="33" t="s">
        <v>644</v>
      </c>
      <c r="C330" s="27" t="s">
        <v>645</v>
      </c>
      <c r="D330" s="16"/>
      <c r="E330" s="23"/>
      <c r="F330" s="85"/>
      <c r="G330" s="98"/>
      <c r="H330" s="86"/>
      <c r="I330" s="113"/>
      <c r="J330" s="17" t="s">
        <v>644</v>
      </c>
      <c r="K330" s="17">
        <v>8</v>
      </c>
      <c r="L330" s="53" t="s">
        <v>646</v>
      </c>
      <c r="M330" s="221"/>
      <c r="N330" s="237"/>
      <c r="O330" s="222"/>
      <c r="P330" s="223"/>
    </row>
    <row r="331" spans="1:16" ht="12" hidden="1" customHeight="1" x14ac:dyDescent="0.2">
      <c r="A331" s="22"/>
      <c r="B331" s="16"/>
      <c r="C331" s="16"/>
      <c r="D331" s="16"/>
      <c r="E331" s="23"/>
      <c r="F331" s="85"/>
      <c r="G331" s="98"/>
      <c r="H331" s="86"/>
      <c r="I331" s="113"/>
      <c r="J331" s="31"/>
      <c r="K331" s="31"/>
      <c r="L331" s="16"/>
      <c r="M331" s="221"/>
      <c r="N331" s="237"/>
      <c r="O331" s="222"/>
      <c r="P331" s="223"/>
    </row>
    <row r="332" spans="1:16" ht="12" hidden="1" customHeight="1" x14ac:dyDescent="0.2">
      <c r="A332" s="22"/>
      <c r="B332" s="16"/>
      <c r="C332" s="35" t="s">
        <v>647</v>
      </c>
      <c r="D332" s="16" t="s">
        <v>648</v>
      </c>
      <c r="E332" s="23"/>
      <c r="F332" s="85"/>
      <c r="G332" s="98"/>
      <c r="H332" s="86"/>
      <c r="I332" s="113"/>
      <c r="J332" s="31"/>
      <c r="K332" s="16"/>
      <c r="L332" s="16"/>
      <c r="M332" s="221"/>
      <c r="N332" s="237"/>
      <c r="O332" s="222"/>
      <c r="P332" s="223"/>
    </row>
    <row r="333" spans="1:16" ht="12" hidden="1" customHeight="1" x14ac:dyDescent="0.2">
      <c r="A333" s="22"/>
      <c r="B333" s="16"/>
      <c r="C333" s="16"/>
      <c r="D333" s="16"/>
      <c r="E333" s="23"/>
      <c r="F333" s="85"/>
      <c r="G333" s="98"/>
      <c r="H333" s="86"/>
      <c r="I333" s="113"/>
      <c r="J333" s="17" t="s">
        <v>647</v>
      </c>
      <c r="K333" s="17" t="s">
        <v>649</v>
      </c>
      <c r="L333" s="53" t="s">
        <v>650</v>
      </c>
      <c r="M333" s="221"/>
      <c r="N333" s="237"/>
      <c r="O333" s="222"/>
      <c r="P333" s="223"/>
    </row>
    <row r="334" spans="1:16" ht="12" hidden="1" customHeight="1" x14ac:dyDescent="0.2">
      <c r="A334" s="22"/>
      <c r="B334" s="16"/>
      <c r="C334" s="16"/>
      <c r="D334" s="16"/>
      <c r="E334" s="23"/>
      <c r="F334" s="85"/>
      <c r="G334" s="98"/>
      <c r="H334" s="86"/>
      <c r="I334" s="113"/>
      <c r="J334" s="31" t="s">
        <v>647</v>
      </c>
      <c r="K334" s="31" t="s">
        <v>651</v>
      </c>
      <c r="L334" s="32" t="s">
        <v>652</v>
      </c>
      <c r="M334" s="221"/>
      <c r="N334" s="237"/>
      <c r="O334" s="222"/>
      <c r="P334" s="223"/>
    </row>
    <row r="335" spans="1:16" ht="12" hidden="1" customHeight="1" x14ac:dyDescent="0.2">
      <c r="A335" s="22"/>
      <c r="B335" s="16"/>
      <c r="C335" s="16"/>
      <c r="D335" s="16"/>
      <c r="E335" s="23"/>
      <c r="F335" s="85"/>
      <c r="G335" s="98"/>
      <c r="H335" s="86"/>
      <c r="I335" s="113"/>
      <c r="J335" s="31" t="s">
        <v>647</v>
      </c>
      <c r="K335" s="31" t="s">
        <v>653</v>
      </c>
      <c r="L335" s="32" t="s">
        <v>654</v>
      </c>
      <c r="M335" s="221"/>
      <c r="N335" s="237"/>
      <c r="O335" s="222"/>
      <c r="P335" s="223"/>
    </row>
    <row r="336" spans="1:16" ht="12" hidden="1" customHeight="1" x14ac:dyDescent="0.2">
      <c r="A336" s="22"/>
      <c r="B336" s="16"/>
      <c r="C336" s="16"/>
      <c r="D336" s="16"/>
      <c r="E336" s="23"/>
      <c r="F336" s="85"/>
      <c r="G336" s="98"/>
      <c r="H336" s="86"/>
      <c r="I336" s="113"/>
      <c r="J336" s="17" t="s">
        <v>647</v>
      </c>
      <c r="K336" s="17" t="s">
        <v>655</v>
      </c>
      <c r="L336" s="53" t="s">
        <v>656</v>
      </c>
      <c r="M336" s="221"/>
      <c r="N336" s="237"/>
      <c r="O336" s="222"/>
      <c r="P336" s="223"/>
    </row>
    <row r="337" spans="1:16" ht="12" hidden="1" customHeight="1" x14ac:dyDescent="0.2">
      <c r="A337" s="22"/>
      <c r="B337" s="16"/>
      <c r="C337" s="16"/>
      <c r="D337" s="16"/>
      <c r="E337" s="23"/>
      <c r="F337" s="85"/>
      <c r="G337" s="98"/>
      <c r="H337" s="86"/>
      <c r="I337" s="113"/>
      <c r="J337" s="31" t="s">
        <v>647</v>
      </c>
      <c r="K337" s="31" t="s">
        <v>657</v>
      </c>
      <c r="L337" s="32" t="s">
        <v>658</v>
      </c>
      <c r="M337" s="221"/>
      <c r="N337" s="237"/>
      <c r="O337" s="222"/>
      <c r="P337" s="223"/>
    </row>
    <row r="338" spans="1:16" ht="12" hidden="1" customHeight="1" x14ac:dyDescent="0.2">
      <c r="A338" s="22"/>
      <c r="B338" s="16"/>
      <c r="C338" s="16"/>
      <c r="D338" s="16"/>
      <c r="E338" s="23"/>
      <c r="F338" s="85"/>
      <c r="G338" s="98"/>
      <c r="H338" s="86"/>
      <c r="I338" s="113"/>
      <c r="J338" s="31" t="s">
        <v>647</v>
      </c>
      <c r="K338" s="31" t="s">
        <v>659</v>
      </c>
      <c r="L338" s="32" t="s">
        <v>660</v>
      </c>
      <c r="M338" s="221"/>
      <c r="N338" s="237"/>
      <c r="O338" s="222"/>
      <c r="P338" s="223"/>
    </row>
    <row r="339" spans="1:16" ht="12" hidden="1" customHeight="1" x14ac:dyDescent="0.2">
      <c r="A339" s="22"/>
      <c r="B339" s="16"/>
      <c r="C339" s="16"/>
      <c r="D339" s="16"/>
      <c r="E339" s="23"/>
      <c r="F339" s="85"/>
      <c r="G339" s="98"/>
      <c r="H339" s="86"/>
      <c r="I339" s="113"/>
      <c r="J339" s="31" t="s">
        <v>647</v>
      </c>
      <c r="K339" s="31" t="s">
        <v>661</v>
      </c>
      <c r="L339" s="32" t="s">
        <v>662</v>
      </c>
      <c r="M339" s="221"/>
      <c r="N339" s="237"/>
      <c r="O339" s="222"/>
      <c r="P339" s="223"/>
    </row>
    <row r="340" spans="1:16" ht="12" hidden="1" customHeight="1" x14ac:dyDescent="0.2">
      <c r="A340" s="22"/>
      <c r="B340" s="16"/>
      <c r="C340" s="16"/>
      <c r="D340" s="16"/>
      <c r="E340" s="23"/>
      <c r="F340" s="85"/>
      <c r="G340" s="98"/>
      <c r="H340" s="86"/>
      <c r="I340" s="113"/>
      <c r="J340" s="31" t="s">
        <v>647</v>
      </c>
      <c r="K340" s="31" t="s">
        <v>663</v>
      </c>
      <c r="L340" s="32" t="s">
        <v>664</v>
      </c>
      <c r="M340" s="221"/>
      <c r="N340" s="237"/>
      <c r="O340" s="222"/>
      <c r="P340" s="223"/>
    </row>
    <row r="341" spans="1:16" ht="12" hidden="1" customHeight="1" x14ac:dyDescent="0.2">
      <c r="A341" s="22"/>
      <c r="B341" s="16"/>
      <c r="C341" s="16"/>
      <c r="D341" s="16"/>
      <c r="E341" s="23"/>
      <c r="F341" s="85"/>
      <c r="G341" s="98"/>
      <c r="H341" s="86"/>
      <c r="I341" s="113"/>
      <c r="J341" s="31" t="s">
        <v>647</v>
      </c>
      <c r="K341" s="31" t="s">
        <v>665</v>
      </c>
      <c r="L341" s="32" t="s">
        <v>666</v>
      </c>
      <c r="M341" s="221"/>
      <c r="N341" s="237"/>
      <c r="O341" s="222"/>
      <c r="P341" s="223"/>
    </row>
    <row r="342" spans="1:16" ht="12" hidden="1" customHeight="1" x14ac:dyDescent="0.2">
      <c r="A342" s="22"/>
      <c r="B342" s="16"/>
      <c r="C342" s="16"/>
      <c r="D342" s="16"/>
      <c r="E342" s="23"/>
      <c r="F342" s="85"/>
      <c r="G342" s="98"/>
      <c r="H342" s="86"/>
      <c r="I342" s="113"/>
      <c r="J342" s="31" t="s">
        <v>647</v>
      </c>
      <c r="K342" s="31" t="s">
        <v>667</v>
      </c>
      <c r="L342" s="32" t="s">
        <v>668</v>
      </c>
      <c r="M342" s="221"/>
      <c r="N342" s="237"/>
      <c r="O342" s="222"/>
      <c r="P342" s="223"/>
    </row>
    <row r="343" spans="1:16" ht="12" hidden="1" customHeight="1" x14ac:dyDescent="0.2">
      <c r="A343" s="22"/>
      <c r="B343" s="16"/>
      <c r="C343" s="16"/>
      <c r="D343" s="16"/>
      <c r="E343" s="23"/>
      <c r="F343" s="85"/>
      <c r="G343" s="98"/>
      <c r="H343" s="86"/>
      <c r="I343" s="113"/>
      <c r="J343" s="31" t="s">
        <v>647</v>
      </c>
      <c r="K343" s="31" t="s">
        <v>669</v>
      </c>
      <c r="L343" s="32" t="s">
        <v>670</v>
      </c>
      <c r="M343" s="221"/>
      <c r="N343" s="237"/>
      <c r="O343" s="222"/>
      <c r="P343" s="223"/>
    </row>
    <row r="344" spans="1:16" ht="12" hidden="1" customHeight="1" x14ac:dyDescent="0.2">
      <c r="A344" s="22"/>
      <c r="B344" s="16"/>
      <c r="C344" s="16"/>
      <c r="D344" s="16"/>
      <c r="E344" s="23"/>
      <c r="F344" s="114"/>
      <c r="G344" s="98"/>
      <c r="H344" s="86"/>
      <c r="I344" s="113"/>
      <c r="J344" s="68" t="s">
        <v>647</v>
      </c>
      <c r="K344" s="68" t="s">
        <v>671</v>
      </c>
      <c r="L344" s="69" t="s">
        <v>672</v>
      </c>
      <c r="M344" s="257"/>
      <c r="N344" s="237"/>
      <c r="O344" s="222"/>
      <c r="P344" s="223"/>
    </row>
    <row r="345" spans="1:16" ht="12" hidden="1" customHeight="1" x14ac:dyDescent="0.2">
      <c r="A345" s="22"/>
      <c r="B345" s="16"/>
      <c r="C345" s="16"/>
      <c r="D345" s="16"/>
      <c r="E345" s="23"/>
      <c r="F345" s="85"/>
      <c r="G345" s="98"/>
      <c r="H345" s="86"/>
      <c r="I345" s="113"/>
      <c r="J345" s="70" t="s">
        <v>647</v>
      </c>
      <c r="K345" s="70" t="s">
        <v>673</v>
      </c>
      <c r="L345" s="71" t="s">
        <v>674</v>
      </c>
      <c r="M345" s="221"/>
      <c r="N345" s="237"/>
      <c r="O345" s="222"/>
      <c r="P345" s="223"/>
    </row>
    <row r="346" spans="1:16" ht="12" hidden="1" customHeight="1" x14ac:dyDescent="0.2">
      <c r="A346" s="22"/>
      <c r="B346" s="16"/>
      <c r="C346" s="16"/>
      <c r="D346" s="16"/>
      <c r="E346" s="23"/>
      <c r="F346" s="85"/>
      <c r="G346" s="98"/>
      <c r="H346" s="86"/>
      <c r="I346" s="113"/>
      <c r="J346" s="31"/>
      <c r="K346" s="31"/>
      <c r="L346" s="32"/>
      <c r="M346" s="221"/>
      <c r="N346" s="237"/>
      <c r="O346" s="222"/>
      <c r="P346" s="223"/>
    </row>
    <row r="347" spans="1:16" ht="12" hidden="1" customHeight="1" x14ac:dyDescent="0.2">
      <c r="A347" s="22"/>
      <c r="B347" s="16"/>
      <c r="C347" s="35" t="s">
        <v>675</v>
      </c>
      <c r="D347" s="16" t="s">
        <v>676</v>
      </c>
      <c r="E347" s="23"/>
      <c r="F347" s="85"/>
      <c r="G347" s="98"/>
      <c r="H347" s="86"/>
      <c r="I347" s="113"/>
      <c r="J347" s="31"/>
      <c r="K347" s="31"/>
      <c r="L347" s="16"/>
      <c r="M347" s="221"/>
      <c r="N347" s="237"/>
      <c r="O347" s="222"/>
      <c r="P347" s="223"/>
    </row>
    <row r="348" spans="1:16" ht="12" hidden="1" customHeight="1" x14ac:dyDescent="0.2">
      <c r="A348" s="22"/>
      <c r="B348" s="16"/>
      <c r="C348" s="16"/>
      <c r="D348" s="16"/>
      <c r="E348" s="23"/>
      <c r="F348" s="85"/>
      <c r="G348" s="98"/>
      <c r="H348" s="86"/>
      <c r="I348" s="113"/>
      <c r="J348" s="17" t="s">
        <v>675</v>
      </c>
      <c r="K348" s="17" t="s">
        <v>649</v>
      </c>
      <c r="L348" s="53" t="s">
        <v>650</v>
      </c>
      <c r="M348" s="221"/>
      <c r="N348" s="237"/>
      <c r="O348" s="222"/>
      <c r="P348" s="223"/>
    </row>
    <row r="349" spans="1:16" ht="12" hidden="1" customHeight="1" x14ac:dyDescent="0.2">
      <c r="A349" s="22"/>
      <c r="B349" s="16"/>
      <c r="C349" s="16"/>
      <c r="D349" s="16"/>
      <c r="E349" s="23"/>
      <c r="F349" s="85"/>
      <c r="G349" s="98"/>
      <c r="H349" s="86"/>
      <c r="I349" s="113"/>
      <c r="J349" s="31" t="s">
        <v>675</v>
      </c>
      <c r="K349" s="31" t="s">
        <v>677</v>
      </c>
      <c r="L349" s="32" t="s">
        <v>678</v>
      </c>
      <c r="M349" s="221"/>
      <c r="N349" s="237"/>
      <c r="O349" s="222"/>
      <c r="P349" s="223"/>
    </row>
    <row r="350" spans="1:16" ht="12" hidden="1" customHeight="1" x14ac:dyDescent="0.2">
      <c r="A350" s="22"/>
      <c r="B350" s="16"/>
      <c r="C350" s="16"/>
      <c r="D350" s="16"/>
      <c r="E350" s="23"/>
      <c r="F350" s="85"/>
      <c r="G350" s="98"/>
      <c r="H350" s="86"/>
      <c r="I350" s="113"/>
      <c r="J350" s="31" t="s">
        <v>675</v>
      </c>
      <c r="K350" s="31" t="s">
        <v>679</v>
      </c>
      <c r="L350" s="32" t="s">
        <v>680</v>
      </c>
      <c r="M350" s="221"/>
      <c r="N350" s="237"/>
      <c r="O350" s="222"/>
      <c r="P350" s="223"/>
    </row>
    <row r="351" spans="1:16" ht="12" hidden="1" customHeight="1" x14ac:dyDescent="0.2">
      <c r="A351" s="22"/>
      <c r="B351" s="16"/>
      <c r="C351" s="16"/>
      <c r="D351" s="16"/>
      <c r="E351" s="23"/>
      <c r="F351" s="85"/>
      <c r="G351" s="98"/>
      <c r="H351" s="86"/>
      <c r="I351" s="113"/>
      <c r="J351" s="17" t="s">
        <v>675</v>
      </c>
      <c r="K351" s="17" t="s">
        <v>655</v>
      </c>
      <c r="L351" s="53" t="s">
        <v>656</v>
      </c>
      <c r="M351" s="221"/>
      <c r="N351" s="237"/>
      <c r="O351" s="222"/>
      <c r="P351" s="223"/>
    </row>
    <row r="352" spans="1:16" ht="12" hidden="1" customHeight="1" x14ac:dyDescent="0.2">
      <c r="A352" s="22"/>
      <c r="B352" s="16"/>
      <c r="C352" s="16"/>
      <c r="D352" s="16"/>
      <c r="E352" s="23"/>
      <c r="F352" s="85"/>
      <c r="G352" s="98"/>
      <c r="H352" s="86"/>
      <c r="I352" s="113"/>
      <c r="J352" s="31" t="s">
        <v>675</v>
      </c>
      <c r="K352" s="31" t="s">
        <v>681</v>
      </c>
      <c r="L352" s="32" t="s">
        <v>682</v>
      </c>
      <c r="M352" s="221"/>
      <c r="N352" s="237"/>
      <c r="O352" s="222"/>
      <c r="P352" s="223"/>
    </row>
    <row r="353" spans="1:19" ht="12" hidden="1" customHeight="1" x14ac:dyDescent="0.2">
      <c r="A353" s="22"/>
      <c r="B353" s="16"/>
      <c r="C353" s="16"/>
      <c r="D353" s="16"/>
      <c r="E353" s="23"/>
      <c r="F353" s="85"/>
      <c r="G353" s="98"/>
      <c r="H353" s="86"/>
      <c r="I353" s="113"/>
      <c r="J353" s="31"/>
      <c r="K353" s="31"/>
      <c r="L353" s="16"/>
      <c r="M353" s="221"/>
      <c r="N353" s="237"/>
      <c r="O353" s="222"/>
      <c r="P353" s="223"/>
    </row>
    <row r="354" spans="1:19" ht="12" hidden="1" customHeight="1" x14ac:dyDescent="0.2">
      <c r="A354" s="22"/>
      <c r="B354" s="33" t="s">
        <v>683</v>
      </c>
      <c r="C354" s="27" t="s">
        <v>684</v>
      </c>
      <c r="D354" s="27"/>
      <c r="E354" s="57"/>
      <c r="F354" s="85"/>
      <c r="G354" s="98"/>
      <c r="H354" s="86"/>
      <c r="I354" s="113"/>
      <c r="J354" s="17" t="s">
        <v>683</v>
      </c>
      <c r="K354" s="17" t="s">
        <v>685</v>
      </c>
      <c r="L354" s="53" t="s">
        <v>684</v>
      </c>
      <c r="M354" s="221"/>
      <c r="N354" s="237"/>
      <c r="O354" s="222"/>
      <c r="P354" s="223"/>
    </row>
    <row r="355" spans="1:19" ht="12" hidden="1" customHeight="1" x14ac:dyDescent="0.2">
      <c r="A355" s="22"/>
      <c r="B355" s="16"/>
      <c r="C355" s="16"/>
      <c r="D355" s="16"/>
      <c r="E355" s="23"/>
      <c r="F355" s="85"/>
      <c r="G355" s="98"/>
      <c r="H355" s="86"/>
      <c r="I355" s="113"/>
      <c r="J355" s="31" t="s">
        <v>683</v>
      </c>
      <c r="K355" s="31" t="s">
        <v>686</v>
      </c>
      <c r="L355" s="32" t="s">
        <v>687</v>
      </c>
      <c r="M355" s="221"/>
      <c r="N355" s="237"/>
      <c r="O355" s="222"/>
      <c r="P355" s="223"/>
    </row>
    <row r="356" spans="1:19" ht="12" hidden="1" customHeight="1" x14ac:dyDescent="0.2">
      <c r="A356" s="22"/>
      <c r="B356" s="16"/>
      <c r="C356" s="16"/>
      <c r="D356" s="16"/>
      <c r="E356" s="23" t="s">
        <v>175</v>
      </c>
      <c r="F356" s="85"/>
      <c r="G356" s="98"/>
      <c r="H356" s="86"/>
      <c r="I356" s="113"/>
      <c r="J356" s="31" t="s">
        <v>683</v>
      </c>
      <c r="K356" s="31" t="s">
        <v>688</v>
      </c>
      <c r="L356" s="32" t="s">
        <v>689</v>
      </c>
      <c r="M356" s="221"/>
      <c r="N356" s="237"/>
      <c r="O356" s="222"/>
      <c r="P356" s="223"/>
    </row>
    <row r="357" spans="1:19" ht="12" hidden="1" customHeight="1" x14ac:dyDescent="0.2">
      <c r="A357" s="22"/>
      <c r="B357" s="16"/>
      <c r="C357" s="16"/>
      <c r="D357" s="16"/>
      <c r="E357" s="23"/>
      <c r="F357" s="85"/>
      <c r="G357" s="98"/>
      <c r="H357" s="86"/>
      <c r="I357" s="113"/>
      <c r="J357" s="31"/>
      <c r="K357" s="31"/>
      <c r="L357" s="32"/>
      <c r="M357" s="221"/>
      <c r="N357" s="237"/>
      <c r="O357" s="222"/>
      <c r="P357" s="223"/>
      <c r="S357" s="21">
        <v>290</v>
      </c>
    </row>
    <row r="358" spans="1:19" ht="12" hidden="1" customHeight="1" x14ac:dyDescent="0.2">
      <c r="A358" s="22"/>
      <c r="B358" s="16"/>
      <c r="C358" s="16"/>
      <c r="D358" s="29"/>
      <c r="E358" s="28"/>
      <c r="F358" s="85"/>
      <c r="G358" s="98"/>
      <c r="H358" s="86"/>
      <c r="I358" s="113"/>
      <c r="J358" s="31" t="s">
        <v>175</v>
      </c>
      <c r="K358" s="17">
        <v>9</v>
      </c>
      <c r="L358" s="53" t="s">
        <v>386</v>
      </c>
      <c r="M358" s="221"/>
      <c r="N358" s="237"/>
      <c r="O358" s="222"/>
      <c r="P358" s="223"/>
    </row>
    <row r="359" spans="1:19" ht="12" hidden="1" customHeight="1" x14ac:dyDescent="0.2">
      <c r="A359" s="62">
        <v>4</v>
      </c>
      <c r="B359" s="29" t="s">
        <v>690</v>
      </c>
      <c r="C359" s="16"/>
      <c r="D359" s="16"/>
      <c r="E359" s="23"/>
      <c r="F359" s="85"/>
      <c r="G359" s="98"/>
      <c r="H359" s="86"/>
      <c r="I359" s="113"/>
      <c r="J359" s="31" t="s">
        <v>175</v>
      </c>
      <c r="K359" s="17" t="s">
        <v>691</v>
      </c>
      <c r="L359" s="53" t="s">
        <v>692</v>
      </c>
      <c r="M359" s="221"/>
      <c r="N359" s="237"/>
      <c r="O359" s="222"/>
      <c r="P359" s="223"/>
    </row>
    <row r="360" spans="1:19" ht="12" hidden="1" customHeight="1" x14ac:dyDescent="0.2">
      <c r="A360" s="22"/>
      <c r="B360" s="16"/>
      <c r="C360" s="16"/>
      <c r="D360" s="16"/>
      <c r="E360" s="23"/>
      <c r="F360" s="85"/>
      <c r="G360" s="98"/>
      <c r="H360" s="86"/>
      <c r="I360" s="113"/>
      <c r="J360" s="31">
        <v>4</v>
      </c>
      <c r="K360" s="31" t="s">
        <v>693</v>
      </c>
      <c r="L360" s="32" t="s">
        <v>694</v>
      </c>
      <c r="M360" s="221"/>
      <c r="N360" s="237"/>
      <c r="O360" s="222"/>
      <c r="P360" s="223"/>
    </row>
    <row r="361" spans="1:19" ht="12" hidden="1" customHeight="1" x14ac:dyDescent="0.2">
      <c r="A361" s="22"/>
      <c r="B361" s="16"/>
      <c r="C361" s="16"/>
      <c r="D361" s="16"/>
      <c r="E361" s="23"/>
      <c r="F361" s="85"/>
      <c r="G361" s="98"/>
      <c r="H361" s="86"/>
      <c r="I361" s="113"/>
      <c r="J361" s="31">
        <v>4</v>
      </c>
      <c r="K361" s="31" t="s">
        <v>695</v>
      </c>
      <c r="L361" s="32" t="s">
        <v>696</v>
      </c>
      <c r="M361" s="221"/>
      <c r="N361" s="237"/>
      <c r="O361" s="222"/>
      <c r="P361" s="223"/>
    </row>
    <row r="362" spans="1:19" ht="12" customHeight="1" thickBot="1" x14ac:dyDescent="0.25">
      <c r="A362" s="22"/>
      <c r="B362" s="16"/>
      <c r="C362" s="16"/>
      <c r="D362" s="16"/>
      <c r="E362" s="23"/>
      <c r="F362" s="85"/>
      <c r="G362" s="98"/>
      <c r="H362" s="86"/>
      <c r="I362" s="113"/>
      <c r="J362" s="35"/>
      <c r="K362" s="16"/>
      <c r="L362" s="16"/>
      <c r="M362" s="221"/>
      <c r="N362" s="237"/>
      <c r="O362" s="222"/>
      <c r="P362" s="223"/>
    </row>
    <row r="363" spans="1:19" s="43" customFormat="1" ht="21.75" customHeight="1" x14ac:dyDescent="0.25">
      <c r="A363" s="536"/>
      <c r="B363" s="598" t="s">
        <v>697</v>
      </c>
      <c r="C363" s="598"/>
      <c r="D363" s="598"/>
      <c r="E363" s="599"/>
      <c r="F363" s="537">
        <f>SUM(G363:I363)</f>
        <v>309626220.14999998</v>
      </c>
      <c r="G363" s="538">
        <f>+G8+G239</f>
        <v>163429242.14999998</v>
      </c>
      <c r="H363" s="538">
        <f>+H8+H239</f>
        <v>146196978</v>
      </c>
      <c r="I363" s="529">
        <f>+I8+I239</f>
        <v>0</v>
      </c>
      <c r="J363" s="531"/>
      <c r="K363" s="531"/>
      <c r="L363" s="532" t="s">
        <v>697</v>
      </c>
      <c r="M363" s="533">
        <f>+M12+M50+M113+M155+M162+M196+M240+M279+M308+M330+M358</f>
        <v>309626220.14999998</v>
      </c>
      <c r="N363" s="534">
        <f>+N12+N50+N113+N155+N162+N196+N240+N279+N308+N330+N358</f>
        <v>163429242.14999998</v>
      </c>
      <c r="O363" s="534">
        <f>+O12+O50+O113+O155+O162+O196+O240+O279+O308+O330+O358</f>
        <v>146196978</v>
      </c>
      <c r="P363" s="534">
        <f>+P12+P50+P113+P155+P162+P196+P240+P279+P308+P330+P358</f>
        <v>0</v>
      </c>
      <c r="Q363" s="233"/>
    </row>
    <row r="365" spans="1:19" ht="11.25" x14ac:dyDescent="0.2">
      <c r="G365" s="115"/>
      <c r="H365" s="115"/>
      <c r="I365" s="115"/>
    </row>
    <row r="366" spans="1:19" s="25" customFormat="1" ht="12.75" x14ac:dyDescent="0.2">
      <c r="B366" s="72"/>
      <c r="C366" s="73" t="s">
        <v>698</v>
      </c>
      <c r="D366" s="73"/>
      <c r="E366" s="73"/>
      <c r="F366" s="117"/>
      <c r="G366" s="118"/>
      <c r="H366" s="118"/>
      <c r="I366" s="111"/>
      <c r="J366" s="24"/>
      <c r="K366" s="73"/>
      <c r="M366" s="260"/>
      <c r="N366" s="260"/>
      <c r="O366" s="260"/>
      <c r="P366" s="260"/>
      <c r="Q366" s="177"/>
    </row>
    <row r="367" spans="1:19" ht="12" customHeight="1" x14ac:dyDescent="0.2">
      <c r="B367" s="600"/>
      <c r="C367" s="600"/>
      <c r="D367" s="600"/>
      <c r="E367" s="600"/>
      <c r="F367" s="600"/>
      <c r="G367" s="600"/>
      <c r="H367" s="600"/>
      <c r="I367" s="600"/>
    </row>
    <row r="368" spans="1:19" ht="12" customHeight="1" x14ac:dyDescent="0.2">
      <c r="B368" s="74"/>
    </row>
    <row r="369" spans="1:20" ht="16.5" customHeight="1" x14ac:dyDescent="0.2"/>
    <row r="370" spans="1:20" ht="12" customHeight="1" x14ac:dyDescent="0.2">
      <c r="C370" s="75"/>
    </row>
    <row r="371" spans="1:20" s="25" customFormat="1" ht="34.5" customHeight="1" x14ac:dyDescent="0.2">
      <c r="A371" s="21"/>
      <c r="B371" s="21"/>
      <c r="C371" s="76" t="s">
        <v>699</v>
      </c>
      <c r="D371" s="21"/>
      <c r="E371" s="21"/>
      <c r="F371" s="115"/>
      <c r="G371" s="83"/>
      <c r="H371" s="83"/>
      <c r="I371" s="116"/>
      <c r="J371" s="24"/>
      <c r="L371" s="21"/>
      <c r="M371" s="259"/>
      <c r="N371" s="219"/>
      <c r="O371" s="219"/>
      <c r="P371" s="259"/>
      <c r="Q371" s="176"/>
      <c r="R371" s="21"/>
      <c r="S371" s="21"/>
      <c r="T371" s="21"/>
    </row>
    <row r="372" spans="1:20" s="25" customFormat="1" ht="51" customHeight="1" x14ac:dyDescent="0.2">
      <c r="A372" s="21"/>
      <c r="B372" s="21"/>
      <c r="C372" s="75"/>
      <c r="D372" s="21"/>
      <c r="E372" s="21"/>
      <c r="F372" s="115"/>
      <c r="G372" s="83"/>
      <c r="H372" s="83"/>
      <c r="I372" s="116"/>
      <c r="J372" s="24"/>
      <c r="L372" s="21"/>
      <c r="M372" s="259"/>
      <c r="N372" s="219"/>
      <c r="O372" s="219"/>
      <c r="P372" s="259"/>
      <c r="Q372" s="176"/>
      <c r="R372" s="21"/>
      <c r="S372" s="21"/>
      <c r="T372" s="21"/>
    </row>
    <row r="373" spans="1:20" s="25" customFormat="1" ht="48.75" customHeight="1" x14ac:dyDescent="0.2">
      <c r="A373" s="21"/>
      <c r="B373" s="21"/>
      <c r="C373" s="590"/>
      <c r="D373" s="590"/>
      <c r="E373" s="590"/>
      <c r="F373" s="590"/>
      <c r="G373" s="590"/>
      <c r="H373" s="590"/>
      <c r="I373" s="590"/>
      <c r="J373" s="24"/>
      <c r="L373" s="21"/>
      <c r="M373" s="259"/>
      <c r="N373" s="219"/>
      <c r="O373" s="219"/>
      <c r="P373" s="259"/>
      <c r="Q373" s="176"/>
      <c r="R373" s="21"/>
      <c r="S373" s="21"/>
      <c r="T373" s="21"/>
    </row>
    <row r="374" spans="1:20" s="25" customFormat="1" ht="12" customHeight="1" x14ac:dyDescent="0.2">
      <c r="A374" s="21"/>
      <c r="B374" s="21"/>
      <c r="C374" s="30"/>
      <c r="D374" s="30"/>
      <c r="E374" s="30"/>
      <c r="F374" s="115"/>
      <c r="G374" s="83"/>
      <c r="H374" s="83"/>
      <c r="I374" s="116"/>
      <c r="J374" s="24"/>
      <c r="L374" s="21"/>
      <c r="M374" s="259"/>
      <c r="N374" s="219"/>
      <c r="O374" s="219"/>
      <c r="P374" s="259"/>
      <c r="Q374" s="176"/>
      <c r="R374" s="21"/>
      <c r="S374" s="21"/>
      <c r="T374" s="21"/>
    </row>
    <row r="375" spans="1:20" s="25" customFormat="1" ht="12" customHeight="1" x14ac:dyDescent="0.2">
      <c r="A375" s="21"/>
      <c r="B375" s="21"/>
      <c r="C375" s="30"/>
      <c r="D375" s="30"/>
      <c r="E375" s="30"/>
      <c r="F375" s="115"/>
      <c r="G375" s="83"/>
      <c r="H375" s="83"/>
      <c r="I375" s="116"/>
      <c r="J375" s="24"/>
      <c r="L375" s="21"/>
      <c r="M375" s="259"/>
      <c r="N375" s="219"/>
      <c r="O375" s="219"/>
      <c r="P375" s="259"/>
      <c r="Q375" s="176"/>
      <c r="R375" s="21"/>
      <c r="S375" s="21"/>
      <c r="T375" s="21"/>
    </row>
    <row r="376" spans="1:20" s="25" customFormat="1" ht="42.75" customHeight="1" x14ac:dyDescent="0.2">
      <c r="A376" s="21"/>
      <c r="B376" s="21"/>
      <c r="C376" s="590"/>
      <c r="D376" s="590"/>
      <c r="E376" s="590"/>
      <c r="F376" s="590"/>
      <c r="G376" s="590"/>
      <c r="H376" s="590"/>
      <c r="I376" s="590"/>
      <c r="J376" s="24"/>
      <c r="L376" s="21"/>
      <c r="M376" s="259"/>
      <c r="N376" s="219"/>
      <c r="O376" s="219"/>
      <c r="P376" s="259"/>
      <c r="Q376" s="176"/>
      <c r="R376" s="21"/>
      <c r="S376" s="21"/>
      <c r="T376" s="21"/>
    </row>
    <row r="377" spans="1:20" s="25" customFormat="1" ht="12" customHeight="1" x14ac:dyDescent="0.2">
      <c r="A377" s="21"/>
      <c r="B377" s="21"/>
      <c r="C377" s="30"/>
      <c r="D377" s="30"/>
      <c r="E377" s="30"/>
      <c r="F377" s="115"/>
      <c r="G377" s="83"/>
      <c r="H377" s="83"/>
      <c r="I377" s="116"/>
      <c r="J377" s="24"/>
      <c r="L377" s="21"/>
      <c r="M377" s="259"/>
      <c r="N377" s="219"/>
      <c r="O377" s="219"/>
      <c r="P377" s="259"/>
      <c r="Q377" s="176"/>
      <c r="R377" s="21"/>
      <c r="S377" s="21"/>
      <c r="T377" s="21"/>
    </row>
    <row r="378" spans="1:20" s="25" customFormat="1" ht="12" customHeight="1" x14ac:dyDescent="0.2">
      <c r="A378" s="21"/>
      <c r="B378" s="21"/>
      <c r="C378" s="30"/>
      <c r="D378" s="30"/>
      <c r="E378" s="30"/>
      <c r="F378" s="115"/>
      <c r="G378" s="83"/>
      <c r="H378" s="83"/>
      <c r="I378" s="116"/>
      <c r="J378" s="24"/>
      <c r="L378" s="21"/>
      <c r="M378" s="259"/>
      <c r="N378" s="219"/>
      <c r="O378" s="219"/>
      <c r="P378" s="259"/>
      <c r="Q378" s="176"/>
      <c r="R378" s="21"/>
      <c r="S378" s="21"/>
      <c r="T378" s="21"/>
    </row>
    <row r="379" spans="1:20" s="25" customFormat="1" ht="31.5" customHeight="1" x14ac:dyDescent="0.2">
      <c r="A379" s="21"/>
      <c r="B379" s="21"/>
      <c r="C379" s="590"/>
      <c r="D379" s="590"/>
      <c r="E379" s="590"/>
      <c r="F379" s="590"/>
      <c r="G379" s="590"/>
      <c r="H379" s="590"/>
      <c r="I379" s="590"/>
      <c r="J379" s="24"/>
      <c r="L379" s="21"/>
      <c r="M379" s="259"/>
      <c r="N379" s="219"/>
      <c r="O379" s="219"/>
      <c r="P379" s="259"/>
      <c r="Q379" s="176"/>
      <c r="R379" s="21"/>
      <c r="S379" s="21"/>
      <c r="T379" s="21"/>
    </row>
  </sheetData>
  <mergeCells count="9">
    <mergeCell ref="C373:I373"/>
    <mergeCell ref="C376:I376"/>
    <mergeCell ref="C379:I379"/>
    <mergeCell ref="A2:P2"/>
    <mergeCell ref="A3:P3"/>
    <mergeCell ref="A4:P4"/>
    <mergeCell ref="A6:E6"/>
    <mergeCell ref="B363:E363"/>
    <mergeCell ref="B367:I367"/>
  </mergeCells>
  <printOptions horizontalCentered="1"/>
  <pageMargins left="0.19685039370078741" right="0.19685039370078741" top="0.78740157480314965" bottom="0.39370078740157483" header="0.19685039370078741" footer="0.19685039370078741"/>
  <pageSetup paperSize="9" fitToHeight="0"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T379"/>
  <sheetViews>
    <sheetView showGridLines="0" zoomScale="110" zoomScaleNormal="110" workbookViewId="0">
      <pane ySplit="6" topLeftCell="A7" activePane="bottomLeft" state="frozen"/>
      <selection pane="bottomLeft" activeCell="L22" sqref="L22"/>
    </sheetView>
  </sheetViews>
  <sheetFormatPr baseColWidth="10" defaultColWidth="11.42578125" defaultRowHeight="12" customHeight="1" x14ac:dyDescent="0.2"/>
  <cols>
    <col min="1" max="1" width="2.28515625" style="21" customWidth="1"/>
    <col min="2" max="2" width="4.7109375" style="21" customWidth="1"/>
    <col min="3" max="3" width="5.28515625" style="21" customWidth="1"/>
    <col min="4" max="4" width="5.7109375" style="21" customWidth="1"/>
    <col min="5" max="5" width="25.85546875" style="21" customWidth="1"/>
    <col min="6" max="6" width="11.5703125" style="115" customWidth="1"/>
    <col min="7" max="8" width="12.85546875" style="83" customWidth="1"/>
    <col min="9" max="9" width="12.85546875" style="116" hidden="1" customWidth="1"/>
    <col min="10" max="10" width="8" style="24" customWidth="1"/>
    <col min="11" max="11" width="8.42578125" style="25" customWidth="1"/>
    <col min="12" max="12" width="52" style="21" customWidth="1"/>
    <col min="13" max="13" width="12" style="259" customWidth="1"/>
    <col min="14" max="14" width="14" style="219" customWidth="1"/>
    <col min="15" max="15" width="13.140625" style="219" customWidth="1"/>
    <col min="16" max="16" width="13" style="259" hidden="1" customWidth="1"/>
    <col min="17" max="17" width="13.5703125" style="176" bestFit="1" customWidth="1"/>
    <col min="18" max="16384" width="11.42578125" style="21"/>
  </cols>
  <sheetData>
    <row r="2" spans="1:17" s="16" customFormat="1" x14ac:dyDescent="0.2">
      <c r="A2" s="595" t="s">
        <v>1181</v>
      </c>
      <c r="B2" s="595"/>
      <c r="C2" s="595"/>
      <c r="D2" s="595"/>
      <c r="E2" s="595"/>
      <c r="F2" s="595"/>
      <c r="G2" s="595"/>
      <c r="H2" s="595"/>
      <c r="I2" s="595"/>
      <c r="J2" s="595"/>
      <c r="K2" s="595"/>
      <c r="L2" s="595"/>
      <c r="M2" s="595"/>
      <c r="N2" s="595"/>
      <c r="O2" s="595"/>
      <c r="P2" s="595"/>
      <c r="Q2" s="79"/>
    </row>
    <row r="3" spans="1:17" s="16" customFormat="1" x14ac:dyDescent="0.2">
      <c r="A3" s="595" t="s">
        <v>708</v>
      </c>
      <c r="B3" s="595"/>
      <c r="C3" s="595"/>
      <c r="D3" s="595"/>
      <c r="E3" s="595"/>
      <c r="F3" s="595"/>
      <c r="G3" s="595"/>
      <c r="H3" s="595"/>
      <c r="I3" s="595"/>
      <c r="J3" s="595"/>
      <c r="K3" s="595"/>
      <c r="L3" s="595"/>
      <c r="M3" s="595"/>
      <c r="N3" s="595"/>
      <c r="O3" s="595"/>
      <c r="P3" s="595"/>
      <c r="Q3" s="79"/>
    </row>
    <row r="4" spans="1:17" s="16" customFormat="1" x14ac:dyDescent="0.2">
      <c r="A4" s="595" t="s">
        <v>709</v>
      </c>
      <c r="B4" s="595"/>
      <c r="C4" s="595"/>
      <c r="D4" s="595"/>
      <c r="E4" s="595"/>
      <c r="F4" s="595"/>
      <c r="G4" s="595"/>
      <c r="H4" s="595"/>
      <c r="I4" s="595"/>
      <c r="J4" s="595"/>
      <c r="K4" s="595"/>
      <c r="L4" s="595"/>
      <c r="M4" s="595"/>
      <c r="N4" s="595"/>
      <c r="O4" s="595"/>
      <c r="P4" s="595"/>
      <c r="Q4" s="79"/>
    </row>
    <row r="5" spans="1:17" s="16" customFormat="1" ht="15" customHeight="1" x14ac:dyDescent="0.2">
      <c r="F5" s="82"/>
      <c r="G5" s="83"/>
      <c r="H5" s="83"/>
      <c r="I5" s="83"/>
      <c r="J5" s="17"/>
      <c r="K5" s="18"/>
      <c r="M5" s="219"/>
      <c r="N5" s="219"/>
      <c r="O5" s="219"/>
      <c r="P5" s="219"/>
      <c r="Q5" s="79"/>
    </row>
    <row r="6" spans="1:17" ht="64.5" customHeight="1" x14ac:dyDescent="0.2">
      <c r="A6" s="597" t="s">
        <v>191</v>
      </c>
      <c r="B6" s="597"/>
      <c r="C6" s="597"/>
      <c r="D6" s="597"/>
      <c r="E6" s="597"/>
      <c r="F6" s="84" t="s">
        <v>192</v>
      </c>
      <c r="G6" s="84" t="s">
        <v>193</v>
      </c>
      <c r="H6" s="84" t="s">
        <v>194</v>
      </c>
      <c r="I6" s="84" t="s">
        <v>195</v>
      </c>
      <c r="J6" s="19" t="s">
        <v>196</v>
      </c>
      <c r="K6" s="20" t="s">
        <v>197</v>
      </c>
      <c r="L6" s="461" t="s">
        <v>198</v>
      </c>
      <c r="M6" s="220" t="s">
        <v>192</v>
      </c>
      <c r="N6" s="220" t="s">
        <v>193</v>
      </c>
      <c r="O6" s="220" t="s">
        <v>194</v>
      </c>
      <c r="P6" s="220" t="s">
        <v>195</v>
      </c>
    </row>
    <row r="7" spans="1:17" ht="12" customHeight="1" x14ac:dyDescent="0.2">
      <c r="A7" s="22"/>
      <c r="B7" s="16"/>
      <c r="C7" s="16"/>
      <c r="D7" s="16"/>
      <c r="E7" s="23"/>
      <c r="F7" s="85"/>
      <c r="G7" s="86"/>
      <c r="H7" s="86"/>
      <c r="I7" s="87"/>
      <c r="J7" s="31"/>
      <c r="K7" s="32"/>
      <c r="L7" s="16"/>
      <c r="M7" s="221"/>
      <c r="N7" s="222"/>
      <c r="O7" s="222"/>
      <c r="P7" s="223"/>
    </row>
    <row r="8" spans="1:17" s="30" customFormat="1" ht="12" customHeight="1" x14ac:dyDescent="0.2">
      <c r="A8" s="26" t="s">
        <v>199</v>
      </c>
      <c r="B8" s="27" t="s">
        <v>200</v>
      </c>
      <c r="C8" s="27"/>
      <c r="D8" s="27"/>
      <c r="E8" s="28"/>
      <c r="F8" s="88">
        <f>+G8+H8+I8</f>
        <v>308917032.87</v>
      </c>
      <c r="G8" s="89">
        <f>+G10+G166+G196</f>
        <v>163429242.14999998</v>
      </c>
      <c r="H8" s="89">
        <f t="shared" ref="H8:I8" si="0">+H10+H166+H196</f>
        <v>145487790.72</v>
      </c>
      <c r="I8" s="89">
        <f t="shared" si="0"/>
        <v>0</v>
      </c>
      <c r="J8" s="17"/>
      <c r="K8" s="29"/>
      <c r="L8" s="27"/>
      <c r="M8" s="221"/>
      <c r="N8" s="224"/>
      <c r="O8" s="224"/>
      <c r="P8" s="225"/>
      <c r="Q8" s="226"/>
    </row>
    <row r="9" spans="1:17" ht="12" customHeight="1" x14ac:dyDescent="0.2">
      <c r="A9" s="22"/>
      <c r="B9" s="16"/>
      <c r="C9" s="16"/>
      <c r="D9" s="16"/>
      <c r="E9" s="23"/>
      <c r="F9" s="85"/>
      <c r="G9" s="86"/>
      <c r="H9" s="86"/>
      <c r="I9" s="86"/>
      <c r="J9" s="31"/>
      <c r="K9" s="32"/>
      <c r="L9" s="16"/>
      <c r="M9" s="221"/>
      <c r="N9" s="222"/>
      <c r="O9" s="222"/>
      <c r="P9" s="223"/>
    </row>
    <row r="10" spans="1:17" ht="12" customHeight="1" x14ac:dyDescent="0.2">
      <c r="A10" s="22"/>
      <c r="B10" s="33" t="s">
        <v>201</v>
      </c>
      <c r="C10" s="27" t="s">
        <v>202</v>
      </c>
      <c r="D10" s="27"/>
      <c r="E10" s="28"/>
      <c r="F10" s="88">
        <f>+G10+H10+I10</f>
        <v>222217939.32999998</v>
      </c>
      <c r="G10" s="89">
        <f>+G12+G50</f>
        <v>94635594.450000003</v>
      </c>
      <c r="H10" s="89">
        <f t="shared" ref="H10:I10" si="1">+H12+H50</f>
        <v>127582344.88</v>
      </c>
      <c r="I10" s="89">
        <f t="shared" si="1"/>
        <v>0</v>
      </c>
      <c r="J10" s="31"/>
      <c r="K10" s="32"/>
      <c r="L10" s="16"/>
      <c r="M10" s="221"/>
      <c r="N10" s="222"/>
      <c r="O10" s="222"/>
      <c r="P10" s="223"/>
    </row>
    <row r="11" spans="1:17" ht="12" customHeight="1" x14ac:dyDescent="0.2">
      <c r="A11" s="22"/>
      <c r="B11" s="16"/>
      <c r="C11" s="16"/>
      <c r="D11" s="16"/>
      <c r="E11" s="23"/>
      <c r="F11" s="85"/>
      <c r="G11" s="86"/>
      <c r="H11" s="86"/>
      <c r="I11" s="86"/>
      <c r="J11" s="31"/>
      <c r="K11" s="32"/>
      <c r="L11" s="16"/>
      <c r="M11" s="221"/>
      <c r="N11" s="222"/>
      <c r="O11" s="222"/>
      <c r="P11" s="223"/>
    </row>
    <row r="12" spans="1:17" ht="12" customHeight="1" x14ac:dyDescent="0.2">
      <c r="A12" s="22"/>
      <c r="B12" s="16"/>
      <c r="C12" s="33" t="s">
        <v>203</v>
      </c>
      <c r="D12" s="27" t="s">
        <v>204</v>
      </c>
      <c r="E12" s="28"/>
      <c r="F12" s="90">
        <f>+G12+H12+I12</f>
        <v>206105543.78</v>
      </c>
      <c r="G12" s="91">
        <f>+G14+G36</f>
        <v>94635593.450000003</v>
      </c>
      <c r="H12" s="91">
        <f t="shared" ref="H12:I12" si="2">+H14+H36</f>
        <v>111469950.33</v>
      </c>
      <c r="I12" s="91">
        <f t="shared" si="2"/>
        <v>0</v>
      </c>
      <c r="J12" s="33" t="s">
        <v>203</v>
      </c>
      <c r="K12" s="33">
        <v>0</v>
      </c>
      <c r="L12" s="34" t="s">
        <v>204</v>
      </c>
      <c r="M12" s="227">
        <f>+M15+M21+M27+M37+M43</f>
        <v>206105543.78000003</v>
      </c>
      <c r="N12" s="228">
        <f t="shared" ref="N12:P12" si="3">+N15+N21+N27+N37+N43</f>
        <v>94635593.450000003</v>
      </c>
      <c r="O12" s="228">
        <f>+O15+O21+O27+O37+O43</f>
        <v>111469950.33000001</v>
      </c>
      <c r="P12" s="229">
        <f t="shared" si="3"/>
        <v>0</v>
      </c>
    </row>
    <row r="13" spans="1:17" ht="12" customHeight="1" x14ac:dyDescent="0.2">
      <c r="A13" s="22"/>
      <c r="B13" s="16"/>
      <c r="C13" s="16"/>
      <c r="D13" s="16"/>
      <c r="E13" s="23"/>
      <c r="F13" s="85"/>
      <c r="G13" s="86"/>
      <c r="H13" s="86"/>
      <c r="I13" s="86"/>
      <c r="J13" s="31"/>
      <c r="K13" s="32"/>
      <c r="L13" s="16"/>
      <c r="M13" s="221"/>
      <c r="N13" s="222"/>
      <c r="O13" s="222"/>
      <c r="P13" s="223"/>
    </row>
    <row r="14" spans="1:17" ht="12" customHeight="1" x14ac:dyDescent="0.2">
      <c r="A14" s="22"/>
      <c r="B14" s="16"/>
      <c r="C14" s="16"/>
      <c r="D14" s="35" t="s">
        <v>205</v>
      </c>
      <c r="E14" s="23" t="s">
        <v>206</v>
      </c>
      <c r="F14" s="85">
        <f>+G14+H14+I14</f>
        <v>157057115.61000001</v>
      </c>
      <c r="G14" s="92">
        <f>+N15+N21+N27+N33</f>
        <v>72403756.170000002</v>
      </c>
      <c r="H14" s="92">
        <f>+O15+O21+O27+O33</f>
        <v>84653359.439999998</v>
      </c>
      <c r="I14" s="92">
        <f>+P15+P21+P27+P33</f>
        <v>0</v>
      </c>
      <c r="J14" s="31"/>
      <c r="K14" s="32"/>
      <c r="L14" s="16"/>
      <c r="M14" s="221"/>
      <c r="N14" s="222"/>
      <c r="O14" s="222"/>
      <c r="P14" s="223"/>
    </row>
    <row r="15" spans="1:17" ht="12" customHeight="1" x14ac:dyDescent="0.2">
      <c r="A15" s="22"/>
      <c r="B15" s="16"/>
      <c r="C15" s="16"/>
      <c r="D15" s="36"/>
      <c r="E15" s="37"/>
      <c r="F15" s="88"/>
      <c r="G15" s="89"/>
      <c r="H15" s="89"/>
      <c r="I15" s="89"/>
      <c r="J15" s="33" t="s">
        <v>205</v>
      </c>
      <c r="K15" s="33" t="s">
        <v>207</v>
      </c>
      <c r="L15" s="34" t="s">
        <v>208</v>
      </c>
      <c r="M15" s="227">
        <f>SUM(M16:M20)</f>
        <v>84372958</v>
      </c>
      <c r="N15" s="228">
        <f t="shared" ref="N15:P15" si="4">SUM(N16:N20)</f>
        <v>35070100</v>
      </c>
      <c r="O15" s="228">
        <f>SUM(O16:O20)</f>
        <v>49302858</v>
      </c>
      <c r="P15" s="229">
        <f t="shared" si="4"/>
        <v>0</v>
      </c>
    </row>
    <row r="16" spans="1:17" ht="12" customHeight="1" x14ac:dyDescent="0.2">
      <c r="A16" s="22"/>
      <c r="B16" s="16"/>
      <c r="C16" s="16"/>
      <c r="D16" s="36"/>
      <c r="E16" s="37"/>
      <c r="F16" s="85"/>
      <c r="G16" s="92"/>
      <c r="H16" s="92"/>
      <c r="I16" s="92"/>
      <c r="J16" s="35" t="s">
        <v>205</v>
      </c>
      <c r="K16" s="35" t="s">
        <v>22</v>
      </c>
      <c r="L16" s="16" t="s">
        <v>209</v>
      </c>
      <c r="M16" s="221">
        <f>+N16+O16</f>
        <v>84372958</v>
      </c>
      <c r="N16" s="222">
        <v>35070100</v>
      </c>
      <c r="O16" s="222">
        <v>49302858</v>
      </c>
      <c r="P16" s="223"/>
    </row>
    <row r="17" spans="1:16" ht="12" hidden="1" customHeight="1" x14ac:dyDescent="0.2">
      <c r="A17" s="22"/>
      <c r="B17" s="16"/>
      <c r="C17" s="16"/>
      <c r="D17" s="36"/>
      <c r="E17" s="37"/>
      <c r="F17" s="85"/>
      <c r="G17" s="92"/>
      <c r="H17" s="92"/>
      <c r="I17" s="92"/>
      <c r="J17" s="35" t="s">
        <v>205</v>
      </c>
      <c r="K17" s="35" t="s">
        <v>210</v>
      </c>
      <c r="L17" s="16" t="s">
        <v>211</v>
      </c>
      <c r="M17" s="221">
        <f t="shared" ref="M17:M33" si="5">SUM(N17:P17)</f>
        <v>0</v>
      </c>
      <c r="N17" s="222"/>
      <c r="O17" s="222"/>
      <c r="P17" s="223"/>
    </row>
    <row r="18" spans="1:16" ht="12" hidden="1" customHeight="1" x14ac:dyDescent="0.2">
      <c r="A18" s="22"/>
      <c r="B18" s="16"/>
      <c r="C18" s="16"/>
      <c r="D18" s="36"/>
      <c r="E18" s="37"/>
      <c r="F18" s="85"/>
      <c r="G18" s="92"/>
      <c r="H18" s="92"/>
      <c r="I18" s="92"/>
      <c r="J18" s="35" t="s">
        <v>205</v>
      </c>
      <c r="K18" s="35" t="s">
        <v>212</v>
      </c>
      <c r="L18" s="16" t="s">
        <v>213</v>
      </c>
      <c r="M18" s="221">
        <f t="shared" si="5"/>
        <v>0</v>
      </c>
      <c r="N18" s="222"/>
      <c r="O18" s="222"/>
      <c r="P18" s="223"/>
    </row>
    <row r="19" spans="1:16" ht="12" hidden="1" customHeight="1" x14ac:dyDescent="0.2">
      <c r="A19" s="22"/>
      <c r="B19" s="16"/>
      <c r="C19" s="16"/>
      <c r="D19" s="36"/>
      <c r="E19" s="37"/>
      <c r="F19" s="85"/>
      <c r="G19" s="92"/>
      <c r="H19" s="92"/>
      <c r="I19" s="92"/>
      <c r="J19" s="35" t="s">
        <v>205</v>
      </c>
      <c r="K19" s="35" t="s">
        <v>214</v>
      </c>
      <c r="L19" s="16" t="s">
        <v>215</v>
      </c>
      <c r="M19" s="221">
        <f t="shared" si="5"/>
        <v>0</v>
      </c>
      <c r="N19" s="222"/>
      <c r="O19" s="222"/>
      <c r="P19" s="223"/>
    </row>
    <row r="20" spans="1:16" ht="12" hidden="1" customHeight="1" x14ac:dyDescent="0.2">
      <c r="A20" s="22"/>
      <c r="B20" s="16"/>
      <c r="C20" s="16"/>
      <c r="D20" s="36"/>
      <c r="E20" s="37"/>
      <c r="F20" s="85"/>
      <c r="G20" s="92"/>
      <c r="H20" s="92"/>
      <c r="I20" s="92"/>
      <c r="J20" s="35" t="s">
        <v>205</v>
      </c>
      <c r="K20" s="35" t="s">
        <v>23</v>
      </c>
      <c r="L20" s="16" t="s">
        <v>216</v>
      </c>
      <c r="M20" s="221">
        <f t="shared" si="5"/>
        <v>0</v>
      </c>
      <c r="N20" s="222">
        <v>0</v>
      </c>
      <c r="O20" s="222">
        <v>0</v>
      </c>
      <c r="P20" s="223"/>
    </row>
    <row r="21" spans="1:16" ht="12" customHeight="1" x14ac:dyDescent="0.2">
      <c r="A21" s="22"/>
      <c r="B21" s="16"/>
      <c r="C21" s="16"/>
      <c r="D21" s="36"/>
      <c r="E21" s="37"/>
      <c r="F21" s="88"/>
      <c r="G21" s="89"/>
      <c r="H21" s="89"/>
      <c r="I21" s="89"/>
      <c r="J21" s="33" t="s">
        <v>205</v>
      </c>
      <c r="K21" s="33" t="s">
        <v>217</v>
      </c>
      <c r="L21" s="34" t="s">
        <v>24</v>
      </c>
      <c r="M21" s="227">
        <f>SUM(N21:P21)</f>
        <v>1391290.5</v>
      </c>
      <c r="N21" s="228">
        <f t="shared" ref="N21:P21" si="6">SUM(N22:N26)</f>
        <v>0</v>
      </c>
      <c r="O21" s="228">
        <f>SUM(O22:O26)</f>
        <v>1391290.5</v>
      </c>
      <c r="P21" s="229">
        <f t="shared" si="6"/>
        <v>0</v>
      </c>
    </row>
    <row r="22" spans="1:16" ht="12" customHeight="1" x14ac:dyDescent="0.2">
      <c r="A22" s="22"/>
      <c r="B22" s="16"/>
      <c r="C22" s="16"/>
      <c r="D22" s="36"/>
      <c r="E22" s="37"/>
      <c r="F22" s="85"/>
      <c r="G22" s="92"/>
      <c r="H22" s="92"/>
      <c r="I22" s="92"/>
      <c r="J22" s="35" t="s">
        <v>205</v>
      </c>
      <c r="K22" s="35" t="s">
        <v>218</v>
      </c>
      <c r="L22" s="16" t="s">
        <v>219</v>
      </c>
      <c r="M22" s="221">
        <f>SUM(N22:O22)</f>
        <v>98012.1</v>
      </c>
      <c r="N22" s="222">
        <v>0</v>
      </c>
      <c r="O22" s="222">
        <v>98012.1</v>
      </c>
      <c r="P22" s="223"/>
    </row>
    <row r="23" spans="1:16" ht="12" hidden="1" customHeight="1" x14ac:dyDescent="0.2">
      <c r="A23" s="22"/>
      <c r="B23" s="16"/>
      <c r="C23" s="16"/>
      <c r="D23" s="36"/>
      <c r="E23" s="37"/>
      <c r="F23" s="85"/>
      <c r="G23" s="92"/>
      <c r="H23" s="92"/>
      <c r="I23" s="92"/>
      <c r="J23" s="35" t="s">
        <v>205</v>
      </c>
      <c r="K23" s="35" t="s">
        <v>220</v>
      </c>
      <c r="L23" s="16" t="s">
        <v>221</v>
      </c>
      <c r="M23" s="221">
        <f t="shared" ref="M23:M25" si="7">SUM(N23:O23)</f>
        <v>0</v>
      </c>
      <c r="N23" s="222">
        <v>0</v>
      </c>
      <c r="O23" s="222">
        <v>0</v>
      </c>
      <c r="P23" s="223"/>
    </row>
    <row r="24" spans="1:16" ht="12" hidden="1" customHeight="1" x14ac:dyDescent="0.2">
      <c r="A24" s="22"/>
      <c r="B24" s="16"/>
      <c r="C24" s="16"/>
      <c r="D24" s="36"/>
      <c r="E24" s="37"/>
      <c r="F24" s="85"/>
      <c r="G24" s="92"/>
      <c r="H24" s="92"/>
      <c r="I24" s="92"/>
      <c r="J24" s="35" t="s">
        <v>205</v>
      </c>
      <c r="K24" s="35" t="s">
        <v>222</v>
      </c>
      <c r="L24" s="16" t="s">
        <v>223</v>
      </c>
      <c r="M24" s="221">
        <f t="shared" si="7"/>
        <v>0</v>
      </c>
      <c r="N24" s="222">
        <v>0</v>
      </c>
      <c r="O24" s="222">
        <v>0</v>
      </c>
      <c r="P24" s="223"/>
    </row>
    <row r="25" spans="1:16" ht="12" hidden="1" customHeight="1" x14ac:dyDescent="0.2">
      <c r="A25" s="22"/>
      <c r="B25" s="16"/>
      <c r="C25" s="16"/>
      <c r="D25" s="36"/>
      <c r="E25" s="37"/>
      <c r="F25" s="85"/>
      <c r="G25" s="92"/>
      <c r="H25" s="92"/>
      <c r="I25" s="92"/>
      <c r="J25" s="35" t="s">
        <v>205</v>
      </c>
      <c r="K25" s="35" t="s">
        <v>224</v>
      </c>
      <c r="L25" s="16" t="s">
        <v>225</v>
      </c>
      <c r="M25" s="221">
        <f t="shared" si="7"/>
        <v>0</v>
      </c>
      <c r="N25" s="222">
        <v>0</v>
      </c>
      <c r="O25" s="222">
        <v>0</v>
      </c>
      <c r="P25" s="223"/>
    </row>
    <row r="26" spans="1:16" ht="12" customHeight="1" x14ac:dyDescent="0.2">
      <c r="A26" s="22"/>
      <c r="B26" s="16"/>
      <c r="C26" s="16"/>
      <c r="D26" s="36"/>
      <c r="E26" s="37"/>
      <c r="F26" s="85"/>
      <c r="G26" s="92"/>
      <c r="H26" s="92"/>
      <c r="I26" s="92"/>
      <c r="J26" s="35" t="s">
        <v>205</v>
      </c>
      <c r="K26" s="35" t="s">
        <v>25</v>
      </c>
      <c r="L26" s="16" t="s">
        <v>26</v>
      </c>
      <c r="M26" s="221">
        <f>+N26+O26</f>
        <v>1293278.3999999999</v>
      </c>
      <c r="N26" s="222">
        <v>0</v>
      </c>
      <c r="O26" s="222">
        <v>1293278.3999999999</v>
      </c>
      <c r="P26" s="223"/>
    </row>
    <row r="27" spans="1:16" ht="12" customHeight="1" x14ac:dyDescent="0.2">
      <c r="A27" s="22"/>
      <c r="B27" s="16"/>
      <c r="C27" s="16"/>
      <c r="D27" s="36"/>
      <c r="E27" s="37"/>
      <c r="F27" s="88"/>
      <c r="G27" s="89"/>
      <c r="H27" s="89"/>
      <c r="I27" s="89"/>
      <c r="J27" s="33" t="s">
        <v>205</v>
      </c>
      <c r="K27" s="33" t="s">
        <v>27</v>
      </c>
      <c r="L27" s="34" t="s">
        <v>28</v>
      </c>
      <c r="M27" s="227">
        <f>SUM(N27:P27)</f>
        <v>71292867.109999999</v>
      </c>
      <c r="N27" s="228">
        <f t="shared" ref="N27:P27" si="8">SUM(N28:N32)</f>
        <v>37333656.170000002</v>
      </c>
      <c r="O27" s="228">
        <f>SUM(O28:O32)</f>
        <v>33959210.939999998</v>
      </c>
      <c r="P27" s="229">
        <f t="shared" si="8"/>
        <v>0</v>
      </c>
    </row>
    <row r="28" spans="1:16" ht="12" customHeight="1" x14ac:dyDescent="0.2">
      <c r="A28" s="22"/>
      <c r="B28" s="16"/>
      <c r="C28" s="16"/>
      <c r="D28" s="36"/>
      <c r="E28" s="37"/>
      <c r="F28" s="85"/>
      <c r="G28" s="92"/>
      <c r="H28" s="92"/>
      <c r="I28" s="92"/>
      <c r="J28" s="35" t="s">
        <v>205</v>
      </c>
      <c r="K28" s="35" t="s">
        <v>29</v>
      </c>
      <c r="L28" s="16" t="s">
        <v>30</v>
      </c>
      <c r="M28" s="221">
        <f>SUM(N28:O28)</f>
        <v>30205519.009999998</v>
      </c>
      <c r="N28" s="222">
        <v>15490615.67</v>
      </c>
      <c r="O28" s="222">
        <v>14714903.34</v>
      </c>
      <c r="P28" s="223"/>
    </row>
    <row r="29" spans="1:16" ht="12" customHeight="1" x14ac:dyDescent="0.2">
      <c r="A29" s="22"/>
      <c r="B29" s="16"/>
      <c r="C29" s="16"/>
      <c r="D29" s="36"/>
      <c r="E29" s="37"/>
      <c r="F29" s="85"/>
      <c r="G29" s="92"/>
      <c r="H29" s="92"/>
      <c r="I29" s="92"/>
      <c r="J29" s="35" t="s">
        <v>205</v>
      </c>
      <c r="K29" s="35" t="s">
        <v>31</v>
      </c>
      <c r="L29" s="16" t="s">
        <v>32</v>
      </c>
      <c r="M29" s="221">
        <f t="shared" ref="M29:M32" si="9">SUM(N29:O29)</f>
        <v>31480359.579999998</v>
      </c>
      <c r="N29" s="222">
        <v>16493535</v>
      </c>
      <c r="O29" s="222">
        <v>14986824.58</v>
      </c>
      <c r="P29" s="223"/>
    </row>
    <row r="30" spans="1:16" ht="12" hidden="1" customHeight="1" x14ac:dyDescent="0.2">
      <c r="A30" s="22"/>
      <c r="B30" s="16"/>
      <c r="C30" s="16"/>
      <c r="D30" s="36"/>
      <c r="E30" s="37"/>
      <c r="F30" s="85"/>
      <c r="G30" s="92"/>
      <c r="H30" s="92"/>
      <c r="I30" s="92"/>
      <c r="J30" s="35" t="s">
        <v>205</v>
      </c>
      <c r="K30" s="35" t="s">
        <v>33</v>
      </c>
      <c r="L30" s="16" t="s">
        <v>34</v>
      </c>
      <c r="M30" s="221">
        <f t="shared" si="9"/>
        <v>0</v>
      </c>
      <c r="N30" s="222">
        <v>0</v>
      </c>
      <c r="O30" s="222">
        <v>0</v>
      </c>
      <c r="P30" s="223"/>
    </row>
    <row r="31" spans="1:16" ht="12" hidden="1" customHeight="1" x14ac:dyDescent="0.2">
      <c r="A31" s="22"/>
      <c r="B31" s="16"/>
      <c r="C31" s="16"/>
      <c r="D31" s="36"/>
      <c r="E31" s="37"/>
      <c r="F31" s="85"/>
      <c r="G31" s="92"/>
      <c r="H31" s="92"/>
      <c r="I31" s="92"/>
      <c r="J31" s="35" t="s">
        <v>205</v>
      </c>
      <c r="K31" s="35" t="s">
        <v>35</v>
      </c>
      <c r="L31" s="16" t="s">
        <v>36</v>
      </c>
      <c r="M31" s="221">
        <f t="shared" si="9"/>
        <v>0</v>
      </c>
      <c r="N31" s="222">
        <v>0</v>
      </c>
      <c r="O31" s="222">
        <v>0</v>
      </c>
      <c r="P31" s="223"/>
    </row>
    <row r="32" spans="1:16" ht="12" customHeight="1" x14ac:dyDescent="0.2">
      <c r="A32" s="22"/>
      <c r="B32" s="16"/>
      <c r="C32" s="16"/>
      <c r="D32" s="36"/>
      <c r="E32" s="37"/>
      <c r="F32" s="85"/>
      <c r="G32" s="92"/>
      <c r="H32" s="92"/>
      <c r="I32" s="92"/>
      <c r="J32" s="35" t="s">
        <v>205</v>
      </c>
      <c r="K32" s="35" t="s">
        <v>37</v>
      </c>
      <c r="L32" s="16" t="s">
        <v>38</v>
      </c>
      <c r="M32" s="221">
        <f t="shared" si="9"/>
        <v>9606988.5199999996</v>
      </c>
      <c r="N32" s="222">
        <v>5349505.5</v>
      </c>
      <c r="O32" s="222">
        <v>4257483.0199999996</v>
      </c>
      <c r="P32" s="223"/>
    </row>
    <row r="33" spans="1:18" ht="12" hidden="1" customHeight="1" x14ac:dyDescent="0.2">
      <c r="A33" s="22"/>
      <c r="B33" s="16"/>
      <c r="C33" s="16"/>
      <c r="D33" s="36"/>
      <c r="E33" s="37"/>
      <c r="F33" s="88"/>
      <c r="G33" s="89"/>
      <c r="H33" s="89"/>
      <c r="I33" s="89"/>
      <c r="J33" s="33" t="s">
        <v>205</v>
      </c>
      <c r="K33" s="33" t="s">
        <v>226</v>
      </c>
      <c r="L33" s="34" t="s">
        <v>227</v>
      </c>
      <c r="M33" s="227">
        <f t="shared" si="5"/>
        <v>0</v>
      </c>
      <c r="N33" s="228">
        <f t="shared" ref="N33:P33" si="10">SUM(N34:N35)</f>
        <v>0</v>
      </c>
      <c r="O33" s="228">
        <f t="shared" si="10"/>
        <v>0</v>
      </c>
      <c r="P33" s="229">
        <f t="shared" si="10"/>
        <v>0</v>
      </c>
    </row>
    <row r="34" spans="1:18" ht="12" hidden="1" customHeight="1" x14ac:dyDescent="0.2">
      <c r="A34" s="22"/>
      <c r="B34" s="16"/>
      <c r="C34" s="16"/>
      <c r="D34" s="36"/>
      <c r="E34" s="37"/>
      <c r="F34" s="85"/>
      <c r="G34" s="86"/>
      <c r="H34" s="86"/>
      <c r="I34" s="86"/>
      <c r="J34" s="35" t="s">
        <v>205</v>
      </c>
      <c r="K34" s="35" t="s">
        <v>228</v>
      </c>
      <c r="L34" s="16" t="s">
        <v>229</v>
      </c>
      <c r="M34" s="221"/>
      <c r="N34" s="222"/>
      <c r="O34" s="222"/>
      <c r="P34" s="223"/>
    </row>
    <row r="35" spans="1:18" ht="12" hidden="1" customHeight="1" x14ac:dyDescent="0.2">
      <c r="A35" s="22"/>
      <c r="B35" s="16"/>
      <c r="C35" s="16"/>
      <c r="D35" s="36"/>
      <c r="E35" s="37"/>
      <c r="F35" s="85"/>
      <c r="G35" s="86"/>
      <c r="H35" s="86"/>
      <c r="I35" s="86"/>
      <c r="J35" s="35" t="s">
        <v>205</v>
      </c>
      <c r="K35" s="35" t="s">
        <v>230</v>
      </c>
      <c r="L35" s="16" t="s">
        <v>231</v>
      </c>
      <c r="M35" s="221"/>
      <c r="N35" s="222"/>
      <c r="O35" s="222"/>
      <c r="P35" s="223"/>
    </row>
    <row r="36" spans="1:18" ht="12" customHeight="1" x14ac:dyDescent="0.2">
      <c r="A36" s="22"/>
      <c r="B36" s="16"/>
      <c r="C36" s="16"/>
      <c r="D36" s="35" t="s">
        <v>232</v>
      </c>
      <c r="E36" s="23" t="s">
        <v>233</v>
      </c>
      <c r="F36" s="85">
        <f>+G36+H36+I36</f>
        <v>49048428.170000002</v>
      </c>
      <c r="G36" s="86">
        <f>+N37+N43</f>
        <v>22231837.280000001</v>
      </c>
      <c r="H36" s="86">
        <f>+O37+O43</f>
        <v>26816590.890000001</v>
      </c>
      <c r="I36" s="86">
        <f>+P37+P43</f>
        <v>0</v>
      </c>
      <c r="J36" s="31" t="s">
        <v>175</v>
      </c>
      <c r="K36" s="32"/>
      <c r="L36" s="32"/>
      <c r="M36" s="221"/>
      <c r="N36" s="222"/>
      <c r="O36" s="222"/>
      <c r="P36" s="223"/>
    </row>
    <row r="37" spans="1:18" s="43" customFormat="1" ht="22.5" x14ac:dyDescent="0.2">
      <c r="A37" s="38"/>
      <c r="B37" s="39"/>
      <c r="C37" s="39"/>
      <c r="D37" s="39"/>
      <c r="E37" s="40"/>
      <c r="F37" s="93"/>
      <c r="G37" s="94"/>
      <c r="H37" s="94"/>
      <c r="I37" s="94"/>
      <c r="J37" s="41" t="s">
        <v>232</v>
      </c>
      <c r="K37" s="41" t="s">
        <v>39</v>
      </c>
      <c r="L37" s="42" t="s">
        <v>40</v>
      </c>
      <c r="M37" s="230">
        <f>SUM(M38:M42)</f>
        <v>25691254.370000001</v>
      </c>
      <c r="N37" s="231">
        <f t="shared" ref="N37:P37" si="11">SUM(N38:N42)</f>
        <v>11639460.689999999</v>
      </c>
      <c r="O37" s="231">
        <f>SUM(O38:O42)</f>
        <v>14051793.68</v>
      </c>
      <c r="P37" s="232">
        <f t="shared" si="11"/>
        <v>0</v>
      </c>
      <c r="Q37" s="227"/>
      <c r="R37" s="39"/>
    </row>
    <row r="38" spans="1:18" s="43" customFormat="1" ht="22.5" x14ac:dyDescent="0.25">
      <c r="A38" s="38"/>
      <c r="B38" s="39"/>
      <c r="C38" s="39"/>
      <c r="D38" s="39"/>
      <c r="E38" s="40"/>
      <c r="F38" s="95"/>
      <c r="G38" s="96"/>
      <c r="H38" s="96"/>
      <c r="I38" s="96"/>
      <c r="J38" s="44" t="s">
        <v>232</v>
      </c>
      <c r="K38" s="44" t="s">
        <v>41</v>
      </c>
      <c r="L38" s="45" t="s">
        <v>234</v>
      </c>
      <c r="M38" s="234">
        <f>SUM(N38:O38)</f>
        <v>14624252.190000001</v>
      </c>
      <c r="N38" s="235">
        <v>6625538.96</v>
      </c>
      <c r="O38" s="235">
        <v>7998713.2300000004</v>
      </c>
      <c r="P38" s="236"/>
      <c r="Q38" s="233"/>
    </row>
    <row r="39" spans="1:18" ht="12" hidden="1" customHeight="1" x14ac:dyDescent="0.2">
      <c r="A39" s="22"/>
      <c r="B39" s="16"/>
      <c r="C39" s="16"/>
      <c r="D39" s="16"/>
      <c r="E39" s="46"/>
      <c r="F39" s="85"/>
      <c r="G39" s="92"/>
      <c r="H39" s="92"/>
      <c r="I39" s="92"/>
      <c r="J39" s="31" t="s">
        <v>232</v>
      </c>
      <c r="K39" s="31" t="s">
        <v>235</v>
      </c>
      <c r="L39" s="16" t="s">
        <v>236</v>
      </c>
      <c r="M39" s="234">
        <f t="shared" ref="M39:M42" si="12">SUM(N39:O39)</f>
        <v>0</v>
      </c>
      <c r="N39" s="222"/>
      <c r="O39" s="222"/>
      <c r="P39" s="236"/>
    </row>
    <row r="40" spans="1:18" ht="12" customHeight="1" x14ac:dyDescent="0.2">
      <c r="A40" s="22"/>
      <c r="B40" s="16"/>
      <c r="C40" s="16"/>
      <c r="D40" s="16"/>
      <c r="E40" s="46"/>
      <c r="F40" s="85"/>
      <c r="G40" s="92"/>
      <c r="H40" s="92"/>
      <c r="I40" s="92"/>
      <c r="J40" s="31" t="s">
        <v>232</v>
      </c>
      <c r="K40" s="31" t="s">
        <v>42</v>
      </c>
      <c r="L40" s="16" t="s">
        <v>237</v>
      </c>
      <c r="M40" s="234">
        <f t="shared" si="12"/>
        <v>2371500.5</v>
      </c>
      <c r="N40" s="222">
        <v>1074411.83</v>
      </c>
      <c r="O40" s="222">
        <v>1297088.67</v>
      </c>
      <c r="P40" s="236"/>
    </row>
    <row r="41" spans="1:18" s="43" customFormat="1" ht="22.5" x14ac:dyDescent="0.25">
      <c r="A41" s="38"/>
      <c r="B41" s="39"/>
      <c r="C41" s="39"/>
      <c r="D41" s="39"/>
      <c r="E41" s="40"/>
      <c r="F41" s="95"/>
      <c r="G41" s="96"/>
      <c r="H41" s="96"/>
      <c r="I41" s="96"/>
      <c r="J41" s="44" t="s">
        <v>232</v>
      </c>
      <c r="K41" s="44" t="s">
        <v>43</v>
      </c>
      <c r="L41" s="45" t="s">
        <v>238</v>
      </c>
      <c r="M41" s="234">
        <f t="shared" si="12"/>
        <v>7905001.4800000004</v>
      </c>
      <c r="N41" s="235">
        <v>3581372.64</v>
      </c>
      <c r="O41" s="235">
        <v>4323628.84</v>
      </c>
      <c r="P41" s="236"/>
      <c r="Q41" s="233"/>
    </row>
    <row r="42" spans="1:18" ht="12" customHeight="1" x14ac:dyDescent="0.2">
      <c r="A42" s="22"/>
      <c r="B42" s="16"/>
      <c r="C42" s="16"/>
      <c r="D42" s="16"/>
      <c r="E42" s="46"/>
      <c r="F42" s="85"/>
      <c r="G42" s="92"/>
      <c r="H42" s="92"/>
      <c r="I42" s="86"/>
      <c r="J42" s="31" t="s">
        <v>232</v>
      </c>
      <c r="K42" s="31" t="s">
        <v>44</v>
      </c>
      <c r="L42" s="16" t="s">
        <v>239</v>
      </c>
      <c r="M42" s="234">
        <f t="shared" si="12"/>
        <v>790500.2</v>
      </c>
      <c r="N42" s="222">
        <v>358137.26</v>
      </c>
      <c r="O42" s="222">
        <v>432362.94</v>
      </c>
      <c r="P42" s="236"/>
    </row>
    <row r="43" spans="1:18" s="43" customFormat="1" ht="22.5" x14ac:dyDescent="0.25">
      <c r="A43" s="38"/>
      <c r="B43" s="39"/>
      <c r="C43" s="39"/>
      <c r="D43" s="39"/>
      <c r="E43" s="40"/>
      <c r="F43" s="93"/>
      <c r="G43" s="94"/>
      <c r="H43" s="94"/>
      <c r="I43" s="94"/>
      <c r="J43" s="41" t="s">
        <v>232</v>
      </c>
      <c r="K43" s="41" t="s">
        <v>45</v>
      </c>
      <c r="L43" s="42" t="s">
        <v>240</v>
      </c>
      <c r="M43" s="230">
        <f>SUM(M44:M48)</f>
        <v>23357173.800000001</v>
      </c>
      <c r="N43" s="231">
        <f t="shared" ref="N43:P43" si="13">SUM(N44:N48)</f>
        <v>10592376.59</v>
      </c>
      <c r="O43" s="231">
        <f>SUM(O44:O48)</f>
        <v>12764797.210000001</v>
      </c>
      <c r="P43" s="232">
        <f t="shared" si="13"/>
        <v>0</v>
      </c>
      <c r="Q43" s="233"/>
    </row>
    <row r="44" spans="1:18" s="43" customFormat="1" ht="22.5" x14ac:dyDescent="0.25">
      <c r="A44" s="38"/>
      <c r="B44" s="39"/>
      <c r="C44" s="39"/>
      <c r="D44" s="39"/>
      <c r="E44" s="40"/>
      <c r="F44" s="95"/>
      <c r="G44" s="96"/>
      <c r="H44" s="96"/>
      <c r="I44" s="96"/>
      <c r="J44" s="44" t="s">
        <v>232</v>
      </c>
      <c r="K44" s="44" t="s">
        <v>46</v>
      </c>
      <c r="L44" s="45" t="s">
        <v>241</v>
      </c>
      <c r="M44" s="234">
        <f>SUM(N44:O44)</f>
        <v>8300251.3600000003</v>
      </c>
      <c r="N44" s="235">
        <v>3760441.08</v>
      </c>
      <c r="O44" s="235">
        <v>4539810.28</v>
      </c>
      <c r="P44" s="236"/>
      <c r="Q44" s="233"/>
    </row>
    <row r="45" spans="1:18" ht="12" customHeight="1" x14ac:dyDescent="0.2">
      <c r="A45" s="22"/>
      <c r="B45" s="16"/>
      <c r="C45" s="16"/>
      <c r="D45" s="16"/>
      <c r="E45" s="46"/>
      <c r="F45" s="85"/>
      <c r="G45" s="92"/>
      <c r="H45" s="92"/>
      <c r="I45" s="92"/>
      <c r="J45" s="31" t="s">
        <v>232</v>
      </c>
      <c r="K45" s="31" t="s">
        <v>47</v>
      </c>
      <c r="L45" s="16" t="s">
        <v>242</v>
      </c>
      <c r="M45" s="234">
        <f t="shared" ref="M45:M48" si="14">SUM(N45:O45)</f>
        <v>4743000.9399999995</v>
      </c>
      <c r="N45" s="222">
        <v>2148823.5499999998</v>
      </c>
      <c r="O45" s="222">
        <v>2594177.39</v>
      </c>
      <c r="P45" s="236"/>
    </row>
    <row r="46" spans="1:18" ht="12" customHeight="1" x14ac:dyDescent="0.2">
      <c r="A46" s="22"/>
      <c r="B46" s="16"/>
      <c r="C46" s="16"/>
      <c r="D46" s="16"/>
      <c r="E46" s="46"/>
      <c r="F46" s="85"/>
      <c r="G46" s="92"/>
      <c r="H46" s="92"/>
      <c r="I46" s="92"/>
      <c r="J46" s="31" t="s">
        <v>232</v>
      </c>
      <c r="K46" s="31" t="s">
        <v>48</v>
      </c>
      <c r="L46" s="16" t="s">
        <v>243</v>
      </c>
      <c r="M46" s="234">
        <f t="shared" si="14"/>
        <v>2371500.5</v>
      </c>
      <c r="N46" s="222">
        <v>1074411.83</v>
      </c>
      <c r="O46" s="222">
        <v>1297088.67</v>
      </c>
      <c r="P46" s="236"/>
    </row>
    <row r="47" spans="1:18" ht="12" hidden="1" customHeight="1" x14ac:dyDescent="0.2">
      <c r="A47" s="22"/>
      <c r="B47" s="16"/>
      <c r="C47" s="16"/>
      <c r="D47" s="16"/>
      <c r="E47" s="23"/>
      <c r="F47" s="85"/>
      <c r="G47" s="92"/>
      <c r="H47" s="92"/>
      <c r="I47" s="92"/>
      <c r="J47" s="31" t="s">
        <v>232</v>
      </c>
      <c r="K47" s="31" t="s">
        <v>244</v>
      </c>
      <c r="L47" s="16" t="s">
        <v>245</v>
      </c>
      <c r="M47" s="234">
        <f t="shared" si="14"/>
        <v>0</v>
      </c>
      <c r="N47" s="222"/>
      <c r="O47" s="222"/>
      <c r="P47" s="236"/>
    </row>
    <row r="48" spans="1:18" ht="12" customHeight="1" x14ac:dyDescent="0.2">
      <c r="A48" s="22"/>
      <c r="B48" s="16"/>
      <c r="C48" s="16"/>
      <c r="D48" s="16"/>
      <c r="E48" s="23"/>
      <c r="F48" s="85"/>
      <c r="G48" s="92"/>
      <c r="H48" s="92"/>
      <c r="I48" s="92"/>
      <c r="J48" s="31" t="s">
        <v>232</v>
      </c>
      <c r="K48" s="31" t="s">
        <v>49</v>
      </c>
      <c r="L48" s="16" t="s">
        <v>246</v>
      </c>
      <c r="M48" s="234">
        <f t="shared" si="14"/>
        <v>7942421</v>
      </c>
      <c r="N48" s="222">
        <v>3608700.13</v>
      </c>
      <c r="O48" s="222">
        <v>4333720.87</v>
      </c>
      <c r="P48" s="236"/>
    </row>
    <row r="49" spans="1:18" ht="12" customHeight="1" x14ac:dyDescent="0.2">
      <c r="A49" s="22"/>
      <c r="B49" s="16"/>
      <c r="C49" s="16"/>
      <c r="D49" s="16"/>
      <c r="E49" s="28"/>
      <c r="F49" s="85"/>
      <c r="G49" s="86"/>
      <c r="H49" s="86"/>
      <c r="I49" s="86"/>
      <c r="J49" s="35" t="s">
        <v>175</v>
      </c>
      <c r="K49" s="32"/>
      <c r="L49" s="16"/>
      <c r="M49" s="221"/>
      <c r="N49" s="222"/>
      <c r="O49" s="222"/>
      <c r="P49" s="223"/>
    </row>
    <row r="50" spans="1:18" ht="12" customHeight="1" x14ac:dyDescent="0.2">
      <c r="A50" s="22"/>
      <c r="B50" s="16"/>
      <c r="C50" s="33" t="s">
        <v>247</v>
      </c>
      <c r="D50" s="27" t="s">
        <v>248</v>
      </c>
      <c r="E50" s="28"/>
      <c r="F50" s="90">
        <f>+G50+H50+I50</f>
        <v>16112395.550000001</v>
      </c>
      <c r="G50" s="91">
        <f>+N52+N58+N64+N72+N81+N86+N90+N94+N105+N115+N121+N126+N134+N137+N142</f>
        <v>1</v>
      </c>
      <c r="H50" s="91">
        <f>+O52+O58+O64+O72+O81+O86++O90+O94+O105+O113+O121+O126+O134+O137+O142+O156+O163</f>
        <v>16112394.550000001</v>
      </c>
      <c r="I50" s="89">
        <f>+P52+P58+P64+P72+P81+P86+P94+P105+P115+P121+P126+P134+P137+P142+P156+P163</f>
        <v>0</v>
      </c>
      <c r="J50" s="33" t="s">
        <v>247</v>
      </c>
      <c r="K50" s="33">
        <v>1</v>
      </c>
      <c r="L50" s="34" t="s">
        <v>249</v>
      </c>
      <c r="M50" s="227">
        <f>+M52+M58+M64+M72+M81+M86+M90+M94+M105+M208</f>
        <v>16060388.550000001</v>
      </c>
      <c r="N50" s="228">
        <f t="shared" ref="N50:P50" si="15">+N52+N58+N64+N72+N81+N86+N90+N94+N105+N208</f>
        <v>1</v>
      </c>
      <c r="O50" s="228">
        <f>+O52+O58+O64+O72+O81+O86+O90+O94+O105+O208</f>
        <v>16060387.550000001</v>
      </c>
      <c r="P50" s="229">
        <f t="shared" si="15"/>
        <v>0</v>
      </c>
    </row>
    <row r="51" spans="1:18" ht="12" customHeight="1" x14ac:dyDescent="0.2">
      <c r="A51" s="22"/>
      <c r="B51" s="16"/>
      <c r="C51" s="16"/>
      <c r="D51" s="16" t="s">
        <v>175</v>
      </c>
      <c r="E51" s="23"/>
      <c r="F51" s="85"/>
      <c r="G51" s="86"/>
      <c r="H51" s="86"/>
      <c r="I51" s="86"/>
      <c r="J51" s="35" t="s">
        <v>175</v>
      </c>
      <c r="K51" s="33"/>
      <c r="L51" s="27"/>
      <c r="M51" s="221"/>
      <c r="N51" s="222"/>
      <c r="O51" s="222"/>
      <c r="P51" s="223"/>
    </row>
    <row r="52" spans="1:18" ht="12" customHeight="1" x14ac:dyDescent="0.2">
      <c r="A52" s="22"/>
      <c r="B52" s="16"/>
      <c r="C52" s="16"/>
      <c r="D52" s="16"/>
      <c r="E52" s="23"/>
      <c r="F52" s="88"/>
      <c r="G52" s="89"/>
      <c r="H52" s="89"/>
      <c r="I52" s="89"/>
      <c r="J52" s="33" t="s">
        <v>247</v>
      </c>
      <c r="K52" s="33" t="s">
        <v>250</v>
      </c>
      <c r="L52" s="34" t="s">
        <v>251</v>
      </c>
      <c r="M52" s="227">
        <f>SUM(N52:P52)</f>
        <v>29282.82</v>
      </c>
      <c r="N52" s="228">
        <f>SUM(N53:N57)</f>
        <v>0</v>
      </c>
      <c r="O52" s="228">
        <f t="shared" ref="O52:P52" si="16">SUM(O53:O57)</f>
        <v>29282.82</v>
      </c>
      <c r="P52" s="229">
        <f t="shared" si="16"/>
        <v>0</v>
      </c>
    </row>
    <row r="53" spans="1:18" ht="12" hidden="1" customHeight="1" x14ac:dyDescent="0.2">
      <c r="A53" s="22"/>
      <c r="B53" s="16"/>
      <c r="C53" s="16"/>
      <c r="D53" s="16"/>
      <c r="E53" s="23"/>
      <c r="F53" s="85"/>
      <c r="G53" s="92"/>
      <c r="H53" s="92"/>
      <c r="I53" s="92"/>
      <c r="J53" s="35" t="s">
        <v>247</v>
      </c>
      <c r="K53" s="35" t="s">
        <v>252</v>
      </c>
      <c r="L53" s="16" t="s">
        <v>253</v>
      </c>
      <c r="M53" s="221">
        <f>SUM(N53:P53)</f>
        <v>0</v>
      </c>
      <c r="N53" s="222"/>
      <c r="O53" s="222"/>
      <c r="P53" s="223"/>
    </row>
    <row r="54" spans="1:18" ht="12" hidden="1" customHeight="1" x14ac:dyDescent="0.2">
      <c r="A54" s="22"/>
      <c r="B54" s="16"/>
      <c r="C54" s="16"/>
      <c r="D54" s="16"/>
      <c r="E54" s="23"/>
      <c r="F54" s="85"/>
      <c r="G54" s="92"/>
      <c r="H54" s="92"/>
      <c r="I54" s="92"/>
      <c r="J54" s="35" t="s">
        <v>247</v>
      </c>
      <c r="K54" s="35" t="s">
        <v>254</v>
      </c>
      <c r="L54" s="16" t="s">
        <v>255</v>
      </c>
      <c r="M54" s="221">
        <f t="shared" ref="M54:M56" si="17">SUM(N54:P54)</f>
        <v>0</v>
      </c>
      <c r="N54" s="222"/>
      <c r="O54" s="222"/>
      <c r="P54" s="223"/>
    </row>
    <row r="55" spans="1:18" ht="12" hidden="1" customHeight="1" x14ac:dyDescent="0.2">
      <c r="A55" s="22"/>
      <c r="B55" s="16"/>
      <c r="C55" s="16"/>
      <c r="D55" s="16"/>
      <c r="E55" s="23"/>
      <c r="F55" s="85"/>
      <c r="G55" s="92"/>
      <c r="H55" s="92"/>
      <c r="I55" s="92"/>
      <c r="J55" s="35" t="s">
        <v>247</v>
      </c>
      <c r="K55" s="35" t="s">
        <v>256</v>
      </c>
      <c r="L55" s="16" t="s">
        <v>257</v>
      </c>
      <c r="M55" s="221">
        <f t="shared" si="17"/>
        <v>0</v>
      </c>
      <c r="N55" s="222"/>
      <c r="O55" s="222"/>
      <c r="P55" s="223"/>
    </row>
    <row r="56" spans="1:18" ht="12" hidden="1" customHeight="1" x14ac:dyDescent="0.2">
      <c r="A56" s="22"/>
      <c r="B56" s="16"/>
      <c r="C56" s="16"/>
      <c r="D56" s="16"/>
      <c r="E56" s="23"/>
      <c r="F56" s="85"/>
      <c r="G56" s="92"/>
      <c r="H56" s="92"/>
      <c r="I56" s="92"/>
      <c r="J56" s="35" t="s">
        <v>247</v>
      </c>
      <c r="K56" s="35" t="s">
        <v>258</v>
      </c>
      <c r="L56" s="16" t="s">
        <v>259</v>
      </c>
      <c r="M56" s="221">
        <f t="shared" si="17"/>
        <v>0</v>
      </c>
      <c r="N56" s="222"/>
      <c r="O56" s="222"/>
      <c r="P56" s="223"/>
    </row>
    <row r="57" spans="1:18" ht="12" customHeight="1" x14ac:dyDescent="0.2">
      <c r="A57" s="22"/>
      <c r="B57" s="16"/>
      <c r="C57" s="16"/>
      <c r="D57" s="16"/>
      <c r="E57" s="23"/>
      <c r="F57" s="85"/>
      <c r="G57" s="92"/>
      <c r="H57" s="92"/>
      <c r="I57" s="92"/>
      <c r="J57" s="35" t="s">
        <v>247</v>
      </c>
      <c r="K57" s="35" t="s">
        <v>50</v>
      </c>
      <c r="L57" s="16" t="s">
        <v>51</v>
      </c>
      <c r="M57" s="221"/>
      <c r="N57" s="222">
        <v>0</v>
      </c>
      <c r="O57" s="222">
        <v>29282.82</v>
      </c>
      <c r="P57" s="223"/>
      <c r="Q57" s="175"/>
      <c r="R57" s="16"/>
    </row>
    <row r="58" spans="1:18" ht="12" customHeight="1" x14ac:dyDescent="0.2">
      <c r="A58" s="22"/>
      <c r="B58" s="16"/>
      <c r="C58" s="16"/>
      <c r="D58" s="16"/>
      <c r="E58" s="23"/>
      <c r="F58" s="88"/>
      <c r="G58" s="89"/>
      <c r="H58" s="89"/>
      <c r="I58" s="89"/>
      <c r="J58" s="33" t="s">
        <v>247</v>
      </c>
      <c r="K58" s="33" t="s">
        <v>52</v>
      </c>
      <c r="L58" s="34" t="s">
        <v>260</v>
      </c>
      <c r="M58" s="227">
        <f>SUM(N58:P58)</f>
        <v>3355780.95</v>
      </c>
      <c r="N58" s="228">
        <f>SUM(N59:N63)</f>
        <v>0</v>
      </c>
      <c r="O58" s="228">
        <f>SUM(O59:O63)</f>
        <v>3355780.95</v>
      </c>
      <c r="P58" s="229">
        <f t="shared" ref="P58" si="18">SUM(P59:P63)</f>
        <v>0</v>
      </c>
    </row>
    <row r="59" spans="1:18" ht="12" customHeight="1" x14ac:dyDescent="0.2">
      <c r="A59" s="22"/>
      <c r="B59" s="16"/>
      <c r="C59" s="16"/>
      <c r="D59" s="16"/>
      <c r="E59" s="23"/>
      <c r="F59" s="85"/>
      <c r="G59" s="92"/>
      <c r="H59" s="92"/>
      <c r="I59" s="92"/>
      <c r="J59" s="35" t="s">
        <v>247</v>
      </c>
      <c r="K59" s="35" t="s">
        <v>53</v>
      </c>
      <c r="L59" s="16" t="s">
        <v>261</v>
      </c>
      <c r="M59" s="221">
        <f>SUM(N59:O59)</f>
        <v>10196</v>
      </c>
      <c r="N59" s="222">
        <v>0</v>
      </c>
      <c r="O59" s="222">
        <v>10196</v>
      </c>
      <c r="P59" s="223"/>
    </row>
    <row r="60" spans="1:18" ht="12" customHeight="1" x14ac:dyDescent="0.2">
      <c r="A60" s="22"/>
      <c r="B60" s="16"/>
      <c r="C60" s="16"/>
      <c r="D60" s="16"/>
      <c r="E60" s="23"/>
      <c r="F60" s="85"/>
      <c r="G60" s="92"/>
      <c r="H60" s="92"/>
      <c r="I60" s="92"/>
      <c r="J60" s="35" t="s">
        <v>247</v>
      </c>
      <c r="K60" s="35" t="s">
        <v>54</v>
      </c>
      <c r="L60" s="16" t="s">
        <v>55</v>
      </c>
      <c r="M60" s="221">
        <f>SUM(N60:O60)</f>
        <v>1114565</v>
      </c>
      <c r="N60" s="222">
        <v>0</v>
      </c>
      <c r="O60" s="222">
        <v>1114565</v>
      </c>
      <c r="P60" s="223"/>
    </row>
    <row r="61" spans="1:18" ht="12" hidden="1" customHeight="1" x14ac:dyDescent="0.2">
      <c r="A61" s="22"/>
      <c r="B61" s="16"/>
      <c r="C61" s="16"/>
      <c r="D61" s="16"/>
      <c r="E61" s="23"/>
      <c r="F61" s="85"/>
      <c r="G61" s="92"/>
      <c r="H61" s="92"/>
      <c r="I61" s="92"/>
      <c r="J61" s="35" t="s">
        <v>247</v>
      </c>
      <c r="K61" s="35" t="s">
        <v>56</v>
      </c>
      <c r="L61" s="16" t="s">
        <v>57</v>
      </c>
      <c r="M61" s="221">
        <f t="shared" ref="M61:M63" si="19">SUM(N61:O61)</f>
        <v>0</v>
      </c>
      <c r="N61" s="222">
        <v>0</v>
      </c>
      <c r="O61" s="222">
        <v>0</v>
      </c>
      <c r="P61" s="223"/>
    </row>
    <row r="62" spans="1:18" ht="12" customHeight="1" x14ac:dyDescent="0.2">
      <c r="A62" s="22"/>
      <c r="B62" s="16"/>
      <c r="C62" s="16"/>
      <c r="D62" s="16"/>
      <c r="E62" s="23"/>
      <c r="F62" s="85"/>
      <c r="G62" s="92"/>
      <c r="H62" s="92"/>
      <c r="I62" s="92"/>
      <c r="J62" s="35" t="s">
        <v>247</v>
      </c>
      <c r="K62" s="35" t="s">
        <v>58</v>
      </c>
      <c r="L62" s="16" t="s">
        <v>59</v>
      </c>
      <c r="M62" s="221">
        <f t="shared" si="19"/>
        <v>2008321.25</v>
      </c>
      <c r="N62" s="222">
        <v>0</v>
      </c>
      <c r="O62" s="222">
        <v>2008321.25</v>
      </c>
      <c r="P62" s="223"/>
    </row>
    <row r="63" spans="1:18" ht="12" customHeight="1" x14ac:dyDescent="0.2">
      <c r="A63" s="22"/>
      <c r="B63" s="16"/>
      <c r="C63" s="16"/>
      <c r="D63" s="16"/>
      <c r="E63" s="23"/>
      <c r="F63" s="85"/>
      <c r="G63" s="92"/>
      <c r="H63" s="92"/>
      <c r="I63" s="92"/>
      <c r="J63" s="35" t="s">
        <v>247</v>
      </c>
      <c r="K63" s="35" t="s">
        <v>60</v>
      </c>
      <c r="L63" s="16" t="s">
        <v>262</v>
      </c>
      <c r="M63" s="221">
        <f t="shared" si="19"/>
        <v>222698.7</v>
      </c>
      <c r="N63" s="222">
        <v>0</v>
      </c>
      <c r="O63" s="222">
        <v>222698.7</v>
      </c>
      <c r="P63" s="223"/>
    </row>
    <row r="64" spans="1:18" ht="12" customHeight="1" x14ac:dyDescent="0.2">
      <c r="A64" s="22"/>
      <c r="B64" s="16"/>
      <c r="C64" s="16"/>
      <c r="D64" s="16"/>
      <c r="E64" s="23"/>
      <c r="F64" s="88"/>
      <c r="G64" s="89"/>
      <c r="H64" s="89"/>
      <c r="I64" s="89"/>
      <c r="J64" s="33" t="s">
        <v>247</v>
      </c>
      <c r="K64" s="33" t="s">
        <v>61</v>
      </c>
      <c r="L64" s="34" t="s">
        <v>62</v>
      </c>
      <c r="M64" s="227">
        <f>SUM(N64:P64)</f>
        <v>692343.8899999999</v>
      </c>
      <c r="N64" s="228">
        <f>SUM(N65:N71)</f>
        <v>1</v>
      </c>
      <c r="O64" s="228">
        <f>SUM(O65:O71)</f>
        <v>692342.8899999999</v>
      </c>
      <c r="P64" s="229">
        <f t="shared" ref="P64" si="20">SUM(P65:P71)</f>
        <v>0</v>
      </c>
    </row>
    <row r="65" spans="1:16" ht="12" hidden="1" customHeight="1" x14ac:dyDescent="0.2">
      <c r="A65" s="22"/>
      <c r="B65" s="16"/>
      <c r="C65" s="16"/>
      <c r="D65" s="16"/>
      <c r="E65" s="23"/>
      <c r="F65" s="85"/>
      <c r="G65" s="92"/>
      <c r="H65" s="92"/>
      <c r="I65" s="92"/>
      <c r="J65" s="35" t="s">
        <v>247</v>
      </c>
      <c r="K65" s="35" t="s">
        <v>63</v>
      </c>
      <c r="L65" s="16" t="s">
        <v>263</v>
      </c>
      <c r="M65" s="221">
        <f t="shared" ref="M65" si="21">SUM(N65:P65)</f>
        <v>0</v>
      </c>
      <c r="N65" s="222">
        <v>0</v>
      </c>
      <c r="O65" s="222">
        <v>0</v>
      </c>
      <c r="P65" s="223"/>
    </row>
    <row r="66" spans="1:16" ht="12" hidden="1" customHeight="1" x14ac:dyDescent="0.2">
      <c r="A66" s="22"/>
      <c r="B66" s="16"/>
      <c r="C66" s="16"/>
      <c r="D66" s="16"/>
      <c r="E66" s="23"/>
      <c r="F66" s="85"/>
      <c r="G66" s="92"/>
      <c r="H66" s="92"/>
      <c r="I66" s="92"/>
      <c r="J66" s="35" t="s">
        <v>247</v>
      </c>
      <c r="K66" s="35" t="s">
        <v>264</v>
      </c>
      <c r="L66" s="16" t="s">
        <v>265</v>
      </c>
      <c r="M66" s="221"/>
      <c r="N66" s="222"/>
      <c r="O66" s="222"/>
      <c r="P66" s="223"/>
    </row>
    <row r="67" spans="1:16" ht="12" hidden="1" customHeight="1" x14ac:dyDescent="0.2">
      <c r="A67" s="22"/>
      <c r="B67" s="16"/>
      <c r="C67" s="16"/>
      <c r="D67" s="16"/>
      <c r="E67" s="23"/>
      <c r="F67" s="85"/>
      <c r="G67" s="92"/>
      <c r="H67" s="92"/>
      <c r="I67" s="92"/>
      <c r="J67" s="35" t="s">
        <v>247</v>
      </c>
      <c r="K67" s="35" t="s">
        <v>64</v>
      </c>
      <c r="L67" s="16" t="s">
        <v>65</v>
      </c>
      <c r="M67" s="221"/>
      <c r="N67" s="222"/>
      <c r="O67" s="222"/>
      <c r="P67" s="223"/>
    </row>
    <row r="68" spans="1:16" ht="12" hidden="1" customHeight="1" x14ac:dyDescent="0.2">
      <c r="A68" s="22"/>
      <c r="B68" s="16"/>
      <c r="C68" s="16"/>
      <c r="D68" s="16"/>
      <c r="E68" s="23"/>
      <c r="F68" s="85"/>
      <c r="G68" s="92"/>
      <c r="H68" s="92"/>
      <c r="I68" s="92"/>
      <c r="J68" s="35" t="s">
        <v>247</v>
      </c>
      <c r="K68" s="35" t="s">
        <v>266</v>
      </c>
      <c r="L68" s="16" t="s">
        <v>267</v>
      </c>
      <c r="M68" s="221"/>
      <c r="N68" s="222"/>
      <c r="O68" s="222"/>
      <c r="P68" s="223"/>
    </row>
    <row r="69" spans="1:16" ht="12" hidden="1" customHeight="1" x14ac:dyDescent="0.2">
      <c r="A69" s="22"/>
      <c r="B69" s="16"/>
      <c r="C69" s="16"/>
      <c r="D69" s="16"/>
      <c r="E69" s="23"/>
      <c r="F69" s="85"/>
      <c r="G69" s="92"/>
      <c r="H69" s="92"/>
      <c r="I69" s="92"/>
      <c r="J69" s="35" t="s">
        <v>247</v>
      </c>
      <c r="K69" s="35" t="s">
        <v>268</v>
      </c>
      <c r="L69" s="16" t="s">
        <v>269</v>
      </c>
      <c r="M69" s="221"/>
      <c r="N69" s="222"/>
      <c r="O69" s="222"/>
      <c r="P69" s="223"/>
    </row>
    <row r="70" spans="1:16" ht="12" customHeight="1" x14ac:dyDescent="0.2">
      <c r="A70" s="22"/>
      <c r="B70" s="16"/>
      <c r="C70" s="16"/>
      <c r="D70" s="16"/>
      <c r="E70" s="23"/>
      <c r="F70" s="85"/>
      <c r="G70" s="92"/>
      <c r="H70" s="92"/>
      <c r="I70" s="92"/>
      <c r="J70" s="35" t="s">
        <v>247</v>
      </c>
      <c r="K70" s="35" t="s">
        <v>66</v>
      </c>
      <c r="L70" s="32" t="s">
        <v>270</v>
      </c>
      <c r="M70" s="221">
        <f>SUM(N70:O70)</f>
        <v>667192.06999999995</v>
      </c>
      <c r="N70" s="222">
        <v>0</v>
      </c>
      <c r="O70" s="222">
        <v>667192.06999999995</v>
      </c>
      <c r="P70" s="223"/>
    </row>
    <row r="71" spans="1:16" ht="12" customHeight="1" x14ac:dyDescent="0.2">
      <c r="A71" s="22"/>
      <c r="B71" s="16"/>
      <c r="C71" s="16"/>
      <c r="D71" s="16"/>
      <c r="E71" s="23"/>
      <c r="F71" s="85"/>
      <c r="G71" s="92"/>
      <c r="H71" s="92"/>
      <c r="I71" s="92"/>
      <c r="J71" s="35" t="s">
        <v>247</v>
      </c>
      <c r="K71" s="35" t="s">
        <v>67</v>
      </c>
      <c r="L71" s="16" t="s">
        <v>178</v>
      </c>
      <c r="M71" s="221">
        <f>SUM(N71:O71)</f>
        <v>25151.82</v>
      </c>
      <c r="N71" s="222">
        <v>1</v>
      </c>
      <c r="O71" s="222">
        <v>25150.82</v>
      </c>
      <c r="P71" s="223"/>
    </row>
    <row r="72" spans="1:16" ht="12" customHeight="1" x14ac:dyDescent="0.2">
      <c r="A72" s="22"/>
      <c r="B72" s="16"/>
      <c r="C72" s="16"/>
      <c r="D72" s="16"/>
      <c r="E72" s="23"/>
      <c r="F72" s="88"/>
      <c r="G72" s="89"/>
      <c r="H72" s="89"/>
      <c r="I72" s="89"/>
      <c r="J72" s="33" t="s">
        <v>247</v>
      </c>
      <c r="K72" s="33" t="s">
        <v>69</v>
      </c>
      <c r="L72" s="34" t="s">
        <v>271</v>
      </c>
      <c r="M72" s="227">
        <f>SUM(N72:P72)</f>
        <v>9974025.75</v>
      </c>
      <c r="N72" s="228">
        <f t="shared" ref="N72:P72" si="22">SUM(N73:N79)</f>
        <v>0</v>
      </c>
      <c r="O72" s="228">
        <f>SUM(O73:O79)</f>
        <v>9974025.75</v>
      </c>
      <c r="P72" s="229">
        <f t="shared" si="22"/>
        <v>0</v>
      </c>
    </row>
    <row r="73" spans="1:16" ht="12" customHeight="1" x14ac:dyDescent="0.2">
      <c r="A73" s="22"/>
      <c r="B73" s="16"/>
      <c r="C73" s="16"/>
      <c r="D73" s="16"/>
      <c r="E73" s="23"/>
      <c r="F73" s="85"/>
      <c r="G73" s="92"/>
      <c r="H73" s="92"/>
      <c r="I73" s="92"/>
      <c r="J73" s="35" t="s">
        <v>247</v>
      </c>
      <c r="K73" s="35" t="s">
        <v>68</v>
      </c>
      <c r="L73" s="16" t="s">
        <v>179</v>
      </c>
      <c r="M73" s="221">
        <f>SUM(N73:O73)</f>
        <v>273349.44</v>
      </c>
      <c r="N73" s="222">
        <v>0</v>
      </c>
      <c r="O73" s="222">
        <v>273349.44</v>
      </c>
      <c r="P73" s="223"/>
    </row>
    <row r="74" spans="1:16" ht="12" hidden="1" customHeight="1" x14ac:dyDescent="0.2">
      <c r="A74" s="22"/>
      <c r="B74" s="16"/>
      <c r="C74" s="16"/>
      <c r="D74" s="16"/>
      <c r="E74" s="23"/>
      <c r="F74" s="85"/>
      <c r="G74" s="92"/>
      <c r="H74" s="92"/>
      <c r="I74" s="92"/>
      <c r="J74" s="35" t="s">
        <v>247</v>
      </c>
      <c r="K74" s="35" t="s">
        <v>272</v>
      </c>
      <c r="L74" s="16" t="s">
        <v>273</v>
      </c>
      <c r="M74" s="221">
        <f t="shared" ref="M74:M78" si="23">SUM(N74:O74)</f>
        <v>0</v>
      </c>
      <c r="N74" s="222"/>
      <c r="O74" s="222"/>
      <c r="P74" s="223"/>
    </row>
    <row r="75" spans="1:16" ht="12" hidden="1" customHeight="1" x14ac:dyDescent="0.2">
      <c r="A75" s="22"/>
      <c r="B75" s="16"/>
      <c r="C75" s="16"/>
      <c r="D75" s="16"/>
      <c r="E75" s="23"/>
      <c r="F75" s="85"/>
      <c r="G75" s="92"/>
      <c r="H75" s="92"/>
      <c r="I75" s="92"/>
      <c r="J75" s="35" t="s">
        <v>247</v>
      </c>
      <c r="K75" s="35" t="s">
        <v>274</v>
      </c>
      <c r="L75" s="16" t="s">
        <v>275</v>
      </c>
      <c r="M75" s="221">
        <f t="shared" si="23"/>
        <v>0</v>
      </c>
      <c r="N75" s="222"/>
      <c r="O75" s="222"/>
      <c r="P75" s="223"/>
    </row>
    <row r="76" spans="1:16" ht="12" hidden="1" customHeight="1" x14ac:dyDescent="0.2">
      <c r="A76" s="22"/>
      <c r="B76" s="16"/>
      <c r="C76" s="16"/>
      <c r="D76" s="16"/>
      <c r="E76" s="23"/>
      <c r="F76" s="85"/>
      <c r="G76" s="92"/>
      <c r="H76" s="92"/>
      <c r="I76" s="92"/>
      <c r="J76" s="35" t="s">
        <v>247</v>
      </c>
      <c r="K76" s="35" t="s">
        <v>70</v>
      </c>
      <c r="L76" s="16" t="s">
        <v>180</v>
      </c>
      <c r="M76" s="221">
        <f t="shared" si="23"/>
        <v>0</v>
      </c>
      <c r="N76" s="222"/>
      <c r="O76" s="222"/>
      <c r="P76" s="223"/>
    </row>
    <row r="77" spans="1:16" ht="12" hidden="1" customHeight="1" x14ac:dyDescent="0.2">
      <c r="A77" s="22"/>
      <c r="B77" s="16"/>
      <c r="C77" s="16"/>
      <c r="D77" s="16"/>
      <c r="E77" s="23"/>
      <c r="F77" s="85"/>
      <c r="G77" s="92"/>
      <c r="H77" s="92"/>
      <c r="I77" s="92"/>
      <c r="J77" s="35" t="s">
        <v>247</v>
      </c>
      <c r="K77" s="35" t="s">
        <v>276</v>
      </c>
      <c r="L77" s="16" t="s">
        <v>277</v>
      </c>
      <c r="M77" s="221">
        <f t="shared" si="23"/>
        <v>0</v>
      </c>
      <c r="N77" s="222"/>
      <c r="O77" s="222"/>
      <c r="P77" s="223"/>
    </row>
    <row r="78" spans="1:16" ht="12" customHeight="1" x14ac:dyDescent="0.2">
      <c r="A78" s="22"/>
      <c r="B78" s="16"/>
      <c r="C78" s="16"/>
      <c r="D78" s="16"/>
      <c r="E78" s="23"/>
      <c r="F78" s="85"/>
      <c r="G78" s="92"/>
      <c r="H78" s="92"/>
      <c r="I78" s="92"/>
      <c r="J78" s="35" t="s">
        <v>247</v>
      </c>
      <c r="K78" s="35" t="s">
        <v>72</v>
      </c>
      <c r="L78" s="16" t="s">
        <v>278</v>
      </c>
      <c r="M78" s="221">
        <f t="shared" si="23"/>
        <v>9700676.3100000005</v>
      </c>
      <c r="N78" s="222">
        <v>0</v>
      </c>
      <c r="O78" s="222">
        <v>9700676.3100000005</v>
      </c>
      <c r="P78" s="223"/>
    </row>
    <row r="79" spans="1:16" ht="12" hidden="1" customHeight="1" x14ac:dyDescent="0.2">
      <c r="A79" s="22"/>
      <c r="B79" s="16"/>
      <c r="C79" s="16"/>
      <c r="D79" s="16"/>
      <c r="E79" s="23"/>
      <c r="F79" s="85"/>
      <c r="G79" s="92"/>
      <c r="H79" s="92"/>
      <c r="I79" s="92"/>
      <c r="J79" s="35" t="s">
        <v>247</v>
      </c>
      <c r="K79" s="35" t="s">
        <v>73</v>
      </c>
      <c r="L79" s="16" t="s">
        <v>279</v>
      </c>
      <c r="M79" s="221">
        <f t="shared" ref="M79" si="24">SUM(N79:P79)</f>
        <v>0</v>
      </c>
      <c r="N79" s="222">
        <v>0</v>
      </c>
      <c r="O79" s="222">
        <v>0</v>
      </c>
      <c r="P79" s="223">
        <v>0</v>
      </c>
    </row>
    <row r="80" spans="1:16" ht="12" hidden="1" customHeight="1" x14ac:dyDescent="0.2">
      <c r="A80" s="22"/>
      <c r="B80" s="16"/>
      <c r="C80" s="16"/>
      <c r="D80" s="16"/>
      <c r="E80" s="23"/>
      <c r="F80" s="85"/>
      <c r="G80" s="86"/>
      <c r="H80" s="86"/>
      <c r="I80" s="86"/>
      <c r="J80" s="35"/>
      <c r="K80" s="35"/>
      <c r="L80" s="16"/>
      <c r="M80" s="221"/>
      <c r="N80" s="222"/>
      <c r="O80" s="222"/>
      <c r="P80" s="223"/>
    </row>
    <row r="81" spans="1:16" ht="12" hidden="1" customHeight="1" x14ac:dyDescent="0.2">
      <c r="A81" s="22"/>
      <c r="B81" s="16"/>
      <c r="C81" s="16"/>
      <c r="D81" s="16"/>
      <c r="E81" s="23"/>
      <c r="F81" s="88"/>
      <c r="G81" s="89"/>
      <c r="H81" s="89"/>
      <c r="I81" s="89"/>
      <c r="J81" s="33" t="s">
        <v>247</v>
      </c>
      <c r="K81" s="33" t="s">
        <v>280</v>
      </c>
      <c r="L81" s="34" t="s">
        <v>74</v>
      </c>
      <c r="M81" s="227">
        <f>SUM(N81:P81)</f>
        <v>0</v>
      </c>
      <c r="N81" s="228">
        <f>SUM(N82:N85)</f>
        <v>0</v>
      </c>
      <c r="O81" s="228">
        <f t="shared" ref="O81:P81" si="25">SUM(O82:O85)</f>
        <v>0</v>
      </c>
      <c r="P81" s="229">
        <f t="shared" si="25"/>
        <v>0</v>
      </c>
    </row>
    <row r="82" spans="1:16" ht="12" hidden="1" customHeight="1" x14ac:dyDescent="0.2">
      <c r="A82" s="22"/>
      <c r="B82" s="16"/>
      <c r="C82" s="16"/>
      <c r="D82" s="16"/>
      <c r="E82" s="23"/>
      <c r="F82" s="85"/>
      <c r="G82" s="92"/>
      <c r="H82" s="92"/>
      <c r="I82" s="92"/>
      <c r="J82" s="35" t="s">
        <v>247</v>
      </c>
      <c r="K82" s="35" t="s">
        <v>75</v>
      </c>
      <c r="L82" s="16" t="s">
        <v>76</v>
      </c>
      <c r="M82" s="221">
        <f>SUM(N82:P82)</f>
        <v>0</v>
      </c>
      <c r="N82" s="222"/>
      <c r="O82" s="222"/>
      <c r="P82" s="223"/>
    </row>
    <row r="83" spans="1:16" ht="11.25" hidden="1" customHeight="1" x14ac:dyDescent="0.2">
      <c r="A83" s="22"/>
      <c r="B83" s="16"/>
      <c r="C83" s="16"/>
      <c r="D83" s="16"/>
      <c r="E83" s="23"/>
      <c r="F83" s="85"/>
      <c r="G83" s="92"/>
      <c r="H83" s="86"/>
      <c r="I83" s="86"/>
      <c r="J83" s="35" t="s">
        <v>247</v>
      </c>
      <c r="K83" s="35" t="s">
        <v>77</v>
      </c>
      <c r="L83" s="16" t="s">
        <v>78</v>
      </c>
      <c r="M83" s="221">
        <f t="shared" ref="M83:M85" si="26">SUM(N83:P83)</f>
        <v>0</v>
      </c>
      <c r="N83" s="222">
        <v>0</v>
      </c>
      <c r="O83" s="222">
        <v>0</v>
      </c>
      <c r="P83" s="223"/>
    </row>
    <row r="84" spans="1:16" ht="12" hidden="1" customHeight="1" x14ac:dyDescent="0.2">
      <c r="A84" s="22"/>
      <c r="B84" s="16"/>
      <c r="C84" s="16"/>
      <c r="D84" s="16"/>
      <c r="E84" s="23"/>
      <c r="F84" s="85"/>
      <c r="G84" s="86"/>
      <c r="H84" s="86"/>
      <c r="I84" s="86"/>
      <c r="J84" s="35" t="s">
        <v>247</v>
      </c>
      <c r="K84" s="35" t="s">
        <v>181</v>
      </c>
      <c r="L84" s="16" t="s">
        <v>182</v>
      </c>
      <c r="M84" s="221">
        <f t="shared" si="26"/>
        <v>0</v>
      </c>
      <c r="N84" s="222"/>
      <c r="O84" s="222"/>
      <c r="P84" s="223"/>
    </row>
    <row r="85" spans="1:16" ht="12" hidden="1" customHeight="1" x14ac:dyDescent="0.2">
      <c r="A85" s="22"/>
      <c r="B85" s="16"/>
      <c r="C85" s="16"/>
      <c r="D85" s="16"/>
      <c r="E85" s="23"/>
      <c r="F85" s="85"/>
      <c r="G85" s="86"/>
      <c r="H85" s="86"/>
      <c r="I85" s="86"/>
      <c r="J85" s="35" t="s">
        <v>247</v>
      </c>
      <c r="K85" s="35" t="s">
        <v>183</v>
      </c>
      <c r="L85" s="16" t="s">
        <v>184</v>
      </c>
      <c r="M85" s="221">
        <f t="shared" si="26"/>
        <v>0</v>
      </c>
      <c r="N85" s="222"/>
      <c r="O85" s="222"/>
      <c r="P85" s="223"/>
    </row>
    <row r="86" spans="1:16" ht="12" customHeight="1" x14ac:dyDescent="0.2">
      <c r="A86" s="22"/>
      <c r="B86" s="16"/>
      <c r="C86" s="16"/>
      <c r="D86" s="16"/>
      <c r="E86" s="23"/>
      <c r="F86" s="88"/>
      <c r="G86" s="89"/>
      <c r="H86" s="89"/>
      <c r="I86" s="89"/>
      <c r="J86" s="33" t="s">
        <v>247</v>
      </c>
      <c r="K86" s="33" t="s">
        <v>281</v>
      </c>
      <c r="L86" s="34" t="s">
        <v>79</v>
      </c>
      <c r="M86" s="227">
        <f>SUM(N86:P86)</f>
        <v>561637</v>
      </c>
      <c r="N86" s="228">
        <f>SUM(N87:N89)</f>
        <v>0</v>
      </c>
      <c r="O86" s="228">
        <f t="shared" ref="O86:P86" si="27">SUM(O87:O89)</f>
        <v>561637</v>
      </c>
      <c r="P86" s="229">
        <f t="shared" si="27"/>
        <v>0</v>
      </c>
    </row>
    <row r="87" spans="1:16" ht="12" customHeight="1" x14ac:dyDescent="0.2">
      <c r="A87" s="22"/>
      <c r="B87" s="16"/>
      <c r="C87" s="16"/>
      <c r="D87" s="16"/>
      <c r="E87" s="23"/>
      <c r="F87" s="85"/>
      <c r="G87" s="92"/>
      <c r="H87" s="92"/>
      <c r="I87" s="92"/>
      <c r="J87" s="35" t="s">
        <v>247</v>
      </c>
      <c r="K87" s="35" t="s">
        <v>80</v>
      </c>
      <c r="L87" s="16" t="s">
        <v>282</v>
      </c>
      <c r="M87" s="221">
        <f>SUM(N87:O87)</f>
        <v>561637</v>
      </c>
      <c r="N87" s="222">
        <v>0</v>
      </c>
      <c r="O87" s="222">
        <v>561637</v>
      </c>
      <c r="P87" s="223"/>
    </row>
    <row r="88" spans="1:16" ht="12" hidden="1" customHeight="1" x14ac:dyDescent="0.2">
      <c r="A88" s="22"/>
      <c r="B88" s="16"/>
      <c r="C88" s="16"/>
      <c r="D88" s="16"/>
      <c r="E88" s="23"/>
      <c r="F88" s="85"/>
      <c r="G88" s="86"/>
      <c r="H88" s="86"/>
      <c r="I88" s="86"/>
      <c r="J88" s="35" t="s">
        <v>247</v>
      </c>
      <c r="K88" s="35" t="s">
        <v>283</v>
      </c>
      <c r="L88" s="16" t="s">
        <v>284</v>
      </c>
      <c r="M88" s="221"/>
      <c r="N88" s="222"/>
      <c r="O88" s="222"/>
      <c r="P88" s="223"/>
    </row>
    <row r="89" spans="1:16" ht="12" hidden="1" customHeight="1" x14ac:dyDescent="0.2">
      <c r="A89" s="22"/>
      <c r="B89" s="16"/>
      <c r="C89" s="16"/>
      <c r="D89" s="16"/>
      <c r="E89" s="23"/>
      <c r="F89" s="85"/>
      <c r="G89" s="86"/>
      <c r="H89" s="86"/>
      <c r="I89" s="86"/>
      <c r="J89" s="35" t="s">
        <v>247</v>
      </c>
      <c r="K89" s="35" t="s">
        <v>285</v>
      </c>
      <c r="L89" s="16" t="s">
        <v>286</v>
      </c>
      <c r="M89" s="221"/>
      <c r="N89" s="222"/>
      <c r="O89" s="222"/>
      <c r="P89" s="223"/>
    </row>
    <row r="90" spans="1:16" ht="12" hidden="1" customHeight="1" x14ac:dyDescent="0.2">
      <c r="A90" s="22"/>
      <c r="B90" s="16"/>
      <c r="C90" s="16"/>
      <c r="D90" s="16"/>
      <c r="E90" s="23"/>
      <c r="F90" s="88"/>
      <c r="G90" s="89"/>
      <c r="H90" s="89"/>
      <c r="I90" s="89"/>
      <c r="J90" s="33" t="s">
        <v>247</v>
      </c>
      <c r="K90" s="33" t="s">
        <v>287</v>
      </c>
      <c r="L90" s="34" t="s">
        <v>81</v>
      </c>
      <c r="M90" s="227">
        <f>SUM(N90:P90)</f>
        <v>0</v>
      </c>
      <c r="N90" s="228">
        <f>SUM(N91:N93)</f>
        <v>0</v>
      </c>
      <c r="O90" s="228">
        <f t="shared" ref="O90:P90" si="28">SUM(O91:O93)</f>
        <v>0</v>
      </c>
      <c r="P90" s="229">
        <f t="shared" si="28"/>
        <v>0</v>
      </c>
    </row>
    <row r="91" spans="1:16" ht="12" hidden="1" customHeight="1" x14ac:dyDescent="0.2">
      <c r="A91" s="22"/>
      <c r="B91" s="16"/>
      <c r="C91" s="16"/>
      <c r="D91" s="16"/>
      <c r="E91" s="23"/>
      <c r="F91" s="85"/>
      <c r="G91" s="92"/>
      <c r="H91" s="92"/>
      <c r="I91" s="92"/>
      <c r="J91" s="35" t="s">
        <v>247</v>
      </c>
      <c r="K91" s="35" t="s">
        <v>82</v>
      </c>
      <c r="L91" s="16" t="s">
        <v>83</v>
      </c>
      <c r="M91" s="221"/>
      <c r="N91" s="222"/>
      <c r="O91" s="222"/>
      <c r="P91" s="223"/>
    </row>
    <row r="92" spans="1:16" ht="12" hidden="1" customHeight="1" x14ac:dyDescent="0.2">
      <c r="A92" s="22"/>
      <c r="B92" s="16"/>
      <c r="C92" s="16"/>
      <c r="D92" s="16"/>
      <c r="E92" s="23"/>
      <c r="F92" s="85"/>
      <c r="G92" s="86"/>
      <c r="H92" s="86"/>
      <c r="I92" s="86"/>
      <c r="J92" s="35" t="s">
        <v>247</v>
      </c>
      <c r="K92" s="35" t="s">
        <v>288</v>
      </c>
      <c r="L92" s="16" t="s">
        <v>289</v>
      </c>
      <c r="M92" s="221"/>
      <c r="N92" s="222"/>
      <c r="O92" s="222"/>
      <c r="P92" s="223"/>
    </row>
    <row r="93" spans="1:16" ht="12" hidden="1" customHeight="1" x14ac:dyDescent="0.2">
      <c r="A93" s="22"/>
      <c r="B93" s="16"/>
      <c r="C93" s="16"/>
      <c r="D93" s="16"/>
      <c r="E93" s="23"/>
      <c r="F93" s="85"/>
      <c r="G93" s="86"/>
      <c r="H93" s="86"/>
      <c r="I93" s="86"/>
      <c r="J93" s="35" t="s">
        <v>247</v>
      </c>
      <c r="K93" s="35" t="s">
        <v>290</v>
      </c>
      <c r="L93" s="16" t="s">
        <v>291</v>
      </c>
      <c r="M93" s="221"/>
      <c r="N93" s="222"/>
      <c r="O93" s="222"/>
      <c r="P93" s="223"/>
    </row>
    <row r="94" spans="1:16" ht="12" customHeight="1" x14ac:dyDescent="0.2">
      <c r="A94" s="22"/>
      <c r="B94" s="16"/>
      <c r="C94" s="16"/>
      <c r="D94" s="16"/>
      <c r="E94" s="23"/>
      <c r="F94" s="88"/>
      <c r="G94" s="89"/>
      <c r="H94" s="89"/>
      <c r="I94" s="89"/>
      <c r="J94" s="33" t="s">
        <v>247</v>
      </c>
      <c r="K94" s="33" t="s">
        <v>89</v>
      </c>
      <c r="L94" s="34" t="s">
        <v>292</v>
      </c>
      <c r="M94" s="227">
        <f>SUM(N94:P94)</f>
        <v>1447318.14</v>
      </c>
      <c r="N94" s="228">
        <f>SUM(N95:N103)</f>
        <v>0</v>
      </c>
      <c r="O94" s="228">
        <f t="shared" ref="O94:P94" si="29">SUM(O95:O103)</f>
        <v>1447318.14</v>
      </c>
      <c r="P94" s="229">
        <f t="shared" si="29"/>
        <v>0</v>
      </c>
    </row>
    <row r="95" spans="1:16" ht="12" hidden="1" customHeight="1" x14ac:dyDescent="0.2">
      <c r="A95" s="22"/>
      <c r="B95" s="16"/>
      <c r="C95" s="16"/>
      <c r="D95" s="16"/>
      <c r="E95" s="23"/>
      <c r="F95" s="85"/>
      <c r="G95" s="92"/>
      <c r="H95" s="92"/>
      <c r="I95" s="92"/>
      <c r="J95" s="35" t="s">
        <v>247</v>
      </c>
      <c r="K95" s="35" t="s">
        <v>84</v>
      </c>
      <c r="L95" s="16" t="s">
        <v>85</v>
      </c>
      <c r="M95" s="221">
        <f>SUM(N95:O95)</f>
        <v>0</v>
      </c>
      <c r="N95" s="222">
        <v>0</v>
      </c>
      <c r="O95" s="222"/>
      <c r="P95" s="223"/>
    </row>
    <row r="96" spans="1:16" ht="12" hidden="1" customHeight="1" x14ac:dyDescent="0.2">
      <c r="A96" s="22"/>
      <c r="B96" s="16"/>
      <c r="C96" s="16"/>
      <c r="D96" s="16"/>
      <c r="E96" s="23"/>
      <c r="F96" s="85"/>
      <c r="G96" s="86"/>
      <c r="H96" s="86"/>
      <c r="I96" s="86"/>
      <c r="J96" s="35" t="s">
        <v>247</v>
      </c>
      <c r="K96" s="35" t="s">
        <v>293</v>
      </c>
      <c r="L96" s="16" t="s">
        <v>294</v>
      </c>
      <c r="M96" s="221">
        <f t="shared" ref="M96:M102" si="30">SUM(N96:O96)</f>
        <v>0</v>
      </c>
      <c r="N96" s="222"/>
      <c r="O96" s="222"/>
      <c r="P96" s="223"/>
    </row>
    <row r="97" spans="1:17" ht="12" hidden="1" customHeight="1" x14ac:dyDescent="0.2">
      <c r="A97" s="22"/>
      <c r="B97" s="16"/>
      <c r="C97" s="16"/>
      <c r="D97" s="16"/>
      <c r="E97" s="23"/>
      <c r="F97" s="85"/>
      <c r="G97" s="86"/>
      <c r="H97" s="86"/>
      <c r="I97" s="86"/>
      <c r="J97" s="35" t="s">
        <v>247</v>
      </c>
      <c r="K97" s="35" t="s">
        <v>295</v>
      </c>
      <c r="L97" s="16" t="s">
        <v>296</v>
      </c>
      <c r="M97" s="221">
        <f t="shared" si="30"/>
        <v>0</v>
      </c>
      <c r="N97" s="222"/>
      <c r="O97" s="222"/>
      <c r="P97" s="223"/>
    </row>
    <row r="98" spans="1:17" ht="12" hidden="1" customHeight="1" x14ac:dyDescent="0.2">
      <c r="A98" s="22"/>
      <c r="B98" s="16"/>
      <c r="C98" s="16"/>
      <c r="D98" s="16"/>
      <c r="E98" s="23"/>
      <c r="F98" s="85"/>
      <c r="G98" s="86"/>
      <c r="H98" s="86"/>
      <c r="I98" s="86"/>
      <c r="J98" s="35" t="s">
        <v>247</v>
      </c>
      <c r="K98" s="35" t="s">
        <v>86</v>
      </c>
      <c r="L98" s="16" t="s">
        <v>87</v>
      </c>
      <c r="M98" s="221">
        <f t="shared" si="30"/>
        <v>0</v>
      </c>
      <c r="N98" s="222"/>
      <c r="O98" s="222"/>
      <c r="P98" s="223"/>
    </row>
    <row r="99" spans="1:17" ht="12" hidden="1" customHeight="1" x14ac:dyDescent="0.2">
      <c r="A99" s="22"/>
      <c r="B99" s="16"/>
      <c r="C99" s="16"/>
      <c r="D99" s="16"/>
      <c r="E99" s="23"/>
      <c r="F99" s="85"/>
      <c r="G99" s="92"/>
      <c r="H99" s="92"/>
      <c r="I99" s="92"/>
      <c r="J99" s="35" t="s">
        <v>247</v>
      </c>
      <c r="K99" s="35" t="s">
        <v>88</v>
      </c>
      <c r="L99" s="16" t="s">
        <v>297</v>
      </c>
      <c r="M99" s="221">
        <f t="shared" si="30"/>
        <v>0</v>
      </c>
      <c r="N99" s="222"/>
      <c r="O99" s="222"/>
      <c r="P99" s="223"/>
    </row>
    <row r="100" spans="1:17" ht="12" customHeight="1" x14ac:dyDescent="0.2">
      <c r="A100" s="22"/>
      <c r="B100" s="16"/>
      <c r="C100" s="16"/>
      <c r="D100" s="16"/>
      <c r="E100" s="23"/>
      <c r="F100" s="85"/>
      <c r="G100" s="92"/>
      <c r="H100" s="92"/>
      <c r="I100" s="92"/>
      <c r="J100" s="35" t="s">
        <v>247</v>
      </c>
      <c r="K100" s="35" t="s">
        <v>90</v>
      </c>
      <c r="L100" s="16" t="s">
        <v>91</v>
      </c>
      <c r="M100" s="221">
        <f t="shared" si="30"/>
        <v>355950</v>
      </c>
      <c r="N100" s="222">
        <v>0</v>
      </c>
      <c r="O100" s="222">
        <v>355950</v>
      </c>
      <c r="P100" s="223"/>
    </row>
    <row r="101" spans="1:17" ht="12" hidden="1" customHeight="1" x14ac:dyDescent="0.2">
      <c r="A101" s="22"/>
      <c r="B101" s="16"/>
      <c r="C101" s="16"/>
      <c r="D101" s="16"/>
      <c r="E101" s="23"/>
      <c r="F101" s="85"/>
      <c r="G101" s="92"/>
      <c r="H101" s="92"/>
      <c r="I101" s="92"/>
      <c r="J101" s="35" t="s">
        <v>247</v>
      </c>
      <c r="K101" s="35" t="s">
        <v>92</v>
      </c>
      <c r="L101" s="16" t="s">
        <v>298</v>
      </c>
      <c r="M101" s="221">
        <f t="shared" si="30"/>
        <v>0</v>
      </c>
      <c r="N101" s="222"/>
      <c r="O101" s="222"/>
      <c r="P101" s="223"/>
    </row>
    <row r="102" spans="1:17" s="43" customFormat="1" ht="21.75" customHeight="1" x14ac:dyDescent="0.25">
      <c r="A102" s="38"/>
      <c r="B102" s="39"/>
      <c r="C102" s="39"/>
      <c r="D102" s="39"/>
      <c r="E102" s="59"/>
      <c r="F102" s="95"/>
      <c r="G102" s="96"/>
      <c r="H102" s="96"/>
      <c r="I102" s="96"/>
      <c r="J102" s="58" t="s">
        <v>247</v>
      </c>
      <c r="K102" s="58" t="s">
        <v>93</v>
      </c>
      <c r="L102" s="45" t="s">
        <v>299</v>
      </c>
      <c r="M102" s="234">
        <f t="shared" si="30"/>
        <v>1091368.1399999999</v>
      </c>
      <c r="N102" s="235">
        <v>0</v>
      </c>
      <c r="O102" s="235">
        <v>1091368.1399999999</v>
      </c>
      <c r="P102" s="236"/>
      <c r="Q102" s="233"/>
    </row>
    <row r="103" spans="1:17" ht="12" hidden="1" customHeight="1" x14ac:dyDescent="0.2">
      <c r="A103" s="22"/>
      <c r="B103" s="16"/>
      <c r="C103" s="16"/>
      <c r="D103" s="16"/>
      <c r="E103" s="23"/>
      <c r="F103" s="85"/>
      <c r="G103" s="86"/>
      <c r="H103" s="86"/>
      <c r="I103" s="86"/>
      <c r="J103" s="35" t="s">
        <v>247</v>
      </c>
      <c r="K103" s="35" t="s">
        <v>300</v>
      </c>
      <c r="L103" s="16" t="s">
        <v>301</v>
      </c>
      <c r="M103" s="221">
        <f t="shared" ref="M103" si="31">SUM(N103:P103)</f>
        <v>0</v>
      </c>
      <c r="N103" s="222"/>
      <c r="O103" s="222"/>
      <c r="P103" s="223"/>
    </row>
    <row r="104" spans="1:17" ht="12" hidden="1" customHeight="1" x14ac:dyDescent="0.2">
      <c r="A104" s="22"/>
      <c r="B104" s="16"/>
      <c r="C104" s="16"/>
      <c r="D104" s="16"/>
      <c r="E104" s="23"/>
      <c r="F104" s="85"/>
      <c r="G104" s="86"/>
      <c r="H104" s="86"/>
      <c r="I104" s="86"/>
      <c r="J104" s="31"/>
      <c r="K104" s="32"/>
      <c r="L104" s="16"/>
      <c r="M104" s="221"/>
      <c r="N104" s="222"/>
      <c r="O104" s="222"/>
      <c r="P104" s="223"/>
    </row>
    <row r="105" spans="1:17" ht="12" hidden="1" customHeight="1" x14ac:dyDescent="0.2">
      <c r="A105" s="22"/>
      <c r="B105" s="16"/>
      <c r="C105" s="16"/>
      <c r="D105" s="16"/>
      <c r="E105" s="23"/>
      <c r="F105" s="88"/>
      <c r="G105" s="89"/>
      <c r="H105" s="89"/>
      <c r="I105" s="89"/>
      <c r="J105" s="33" t="s">
        <v>247</v>
      </c>
      <c r="K105" s="33" t="s">
        <v>302</v>
      </c>
      <c r="L105" s="34" t="s">
        <v>303</v>
      </c>
      <c r="M105" s="227">
        <f>SUM(M106:M111)</f>
        <v>0</v>
      </c>
      <c r="N105" s="228">
        <f t="shared" ref="N105:P105" si="32">SUM(N106:N112)</f>
        <v>0</v>
      </c>
      <c r="O105" s="228">
        <f t="shared" si="32"/>
        <v>0</v>
      </c>
      <c r="P105" s="229">
        <f t="shared" si="32"/>
        <v>0</v>
      </c>
    </row>
    <row r="106" spans="1:17" ht="12" hidden="1" customHeight="1" x14ac:dyDescent="0.2">
      <c r="A106" s="22"/>
      <c r="B106" s="16"/>
      <c r="C106" s="16"/>
      <c r="D106" s="16"/>
      <c r="E106" s="23"/>
      <c r="F106" s="85"/>
      <c r="G106" s="92"/>
      <c r="H106" s="92"/>
      <c r="I106" s="92"/>
      <c r="J106" s="35" t="s">
        <v>247</v>
      </c>
      <c r="K106" s="35" t="s">
        <v>304</v>
      </c>
      <c r="L106" s="16" t="s">
        <v>305</v>
      </c>
      <c r="M106" s="221">
        <f>SUM(N106:P106)</f>
        <v>0</v>
      </c>
      <c r="N106" s="222"/>
      <c r="O106" s="222"/>
      <c r="P106" s="223"/>
    </row>
    <row r="107" spans="1:17" ht="12" hidden="1" customHeight="1" x14ac:dyDescent="0.2">
      <c r="A107" s="22"/>
      <c r="B107" s="16"/>
      <c r="C107" s="16"/>
      <c r="D107" s="16"/>
      <c r="E107" s="23"/>
      <c r="F107" s="85"/>
      <c r="G107" s="86"/>
      <c r="H107" s="86"/>
      <c r="I107" s="86"/>
      <c r="J107" s="35" t="s">
        <v>247</v>
      </c>
      <c r="K107" s="35" t="s">
        <v>306</v>
      </c>
      <c r="L107" s="16" t="s">
        <v>307</v>
      </c>
      <c r="M107" s="221">
        <f>SUM(N107:O107)</f>
        <v>0</v>
      </c>
      <c r="N107" s="222">
        <v>0</v>
      </c>
      <c r="O107" s="222">
        <v>0</v>
      </c>
      <c r="P107" s="223"/>
    </row>
    <row r="108" spans="1:17" ht="12" hidden="1" customHeight="1" x14ac:dyDescent="0.2">
      <c r="A108" s="22"/>
      <c r="B108" s="16"/>
      <c r="C108" s="16"/>
      <c r="D108" s="16"/>
      <c r="E108" s="23"/>
      <c r="F108" s="85"/>
      <c r="G108" s="86"/>
      <c r="H108" s="86"/>
      <c r="I108" s="86"/>
      <c r="J108" s="35" t="s">
        <v>247</v>
      </c>
      <c r="K108" s="35" t="s">
        <v>308</v>
      </c>
      <c r="L108" s="16" t="s">
        <v>309</v>
      </c>
      <c r="M108" s="221">
        <f t="shared" ref="M108:M111" si="33">SUM(N108:P108)</f>
        <v>0</v>
      </c>
      <c r="N108" s="222"/>
      <c r="O108" s="222"/>
      <c r="P108" s="223"/>
    </row>
    <row r="109" spans="1:17" ht="12" hidden="1" customHeight="1" x14ac:dyDescent="0.2">
      <c r="A109" s="22"/>
      <c r="B109" s="16"/>
      <c r="C109" s="16"/>
      <c r="D109" s="16"/>
      <c r="E109" s="23"/>
      <c r="F109" s="85"/>
      <c r="G109" s="86"/>
      <c r="H109" s="86"/>
      <c r="I109" s="86"/>
      <c r="J109" s="35" t="s">
        <v>247</v>
      </c>
      <c r="K109" s="35" t="s">
        <v>310</v>
      </c>
      <c r="L109" s="16" t="s">
        <v>311</v>
      </c>
      <c r="M109" s="221">
        <f t="shared" si="33"/>
        <v>0</v>
      </c>
      <c r="N109" s="222"/>
      <c r="O109" s="222"/>
      <c r="P109" s="223"/>
    </row>
    <row r="110" spans="1:17" ht="12" hidden="1" customHeight="1" x14ac:dyDescent="0.2">
      <c r="A110" s="22"/>
      <c r="B110" s="16"/>
      <c r="C110" s="16"/>
      <c r="D110" s="16"/>
      <c r="E110" s="23"/>
      <c r="F110" s="85"/>
      <c r="G110" s="86"/>
      <c r="H110" s="86"/>
      <c r="I110" s="86"/>
      <c r="J110" s="35" t="s">
        <v>247</v>
      </c>
      <c r="K110" s="35" t="s">
        <v>312</v>
      </c>
      <c r="L110" s="16" t="s">
        <v>313</v>
      </c>
      <c r="M110" s="221">
        <f t="shared" si="33"/>
        <v>0</v>
      </c>
      <c r="N110" s="222"/>
      <c r="O110" s="222"/>
      <c r="P110" s="223"/>
    </row>
    <row r="111" spans="1:17" ht="12" hidden="1" customHeight="1" x14ac:dyDescent="0.2">
      <c r="A111" s="22"/>
      <c r="B111" s="16"/>
      <c r="C111" s="16"/>
      <c r="D111" s="16"/>
      <c r="E111" s="23"/>
      <c r="F111" s="85"/>
      <c r="G111" s="86"/>
      <c r="H111" s="86"/>
      <c r="I111" s="86"/>
      <c r="J111" s="35" t="s">
        <v>247</v>
      </c>
      <c r="K111" s="35" t="s">
        <v>314</v>
      </c>
      <c r="L111" s="16" t="s">
        <v>315</v>
      </c>
      <c r="M111" s="221">
        <f t="shared" si="33"/>
        <v>0</v>
      </c>
      <c r="N111" s="222"/>
      <c r="O111" s="222"/>
      <c r="P111" s="223"/>
    </row>
    <row r="112" spans="1:17" ht="12" hidden="1" customHeight="1" x14ac:dyDescent="0.2">
      <c r="A112" s="22"/>
      <c r="B112" s="16"/>
      <c r="C112" s="16"/>
      <c r="D112" s="16"/>
      <c r="E112" s="23"/>
      <c r="F112" s="85"/>
      <c r="G112" s="86"/>
      <c r="H112" s="86"/>
      <c r="I112" s="86"/>
      <c r="J112" s="35" t="s">
        <v>175</v>
      </c>
      <c r="K112" s="32"/>
      <c r="L112" s="16"/>
      <c r="M112" s="221"/>
      <c r="N112" s="222"/>
      <c r="O112" s="222"/>
      <c r="P112" s="223"/>
    </row>
    <row r="113" spans="1:16" ht="20.25" customHeight="1" x14ac:dyDescent="0.2">
      <c r="A113" s="22"/>
      <c r="B113" s="16"/>
      <c r="C113" s="16"/>
      <c r="D113" s="16"/>
      <c r="E113" s="23"/>
      <c r="F113" s="88"/>
      <c r="G113" s="89"/>
      <c r="H113" s="89"/>
      <c r="I113" s="89"/>
      <c r="J113" s="33" t="s">
        <v>247</v>
      </c>
      <c r="K113" s="33">
        <v>2</v>
      </c>
      <c r="L113" s="34" t="s">
        <v>316</v>
      </c>
      <c r="M113" s="227">
        <f>+M115+M121+M126+M134+M137+M142</f>
        <v>52007</v>
      </c>
      <c r="N113" s="228">
        <f t="shared" ref="N113:P113" si="34">+N115+N121+N126+N134+N137+N142</f>
        <v>0</v>
      </c>
      <c r="O113" s="228">
        <f>+O115+O121+O126+O134+O137+O142</f>
        <v>52007</v>
      </c>
      <c r="P113" s="229">
        <f t="shared" si="34"/>
        <v>0</v>
      </c>
    </row>
    <row r="114" spans="1:16" ht="12" customHeight="1" x14ac:dyDescent="0.2">
      <c r="A114" s="22"/>
      <c r="B114" s="16"/>
      <c r="C114" s="16"/>
      <c r="D114" s="16"/>
      <c r="E114" s="23"/>
      <c r="F114" s="85"/>
      <c r="G114" s="86"/>
      <c r="H114" s="86"/>
      <c r="I114" s="86"/>
      <c r="J114" s="35" t="s">
        <v>175</v>
      </c>
      <c r="K114" s="33"/>
      <c r="L114" s="34"/>
      <c r="M114" s="221"/>
      <c r="N114" s="222"/>
      <c r="O114" s="222"/>
      <c r="P114" s="223"/>
    </row>
    <row r="115" spans="1:16" ht="12" customHeight="1" x14ac:dyDescent="0.2">
      <c r="A115" s="22"/>
      <c r="B115" s="16"/>
      <c r="C115" s="16"/>
      <c r="D115" s="16"/>
      <c r="E115" s="23"/>
      <c r="F115" s="88"/>
      <c r="G115" s="89"/>
      <c r="H115" s="89"/>
      <c r="I115" s="89"/>
      <c r="J115" s="33" t="s">
        <v>247</v>
      </c>
      <c r="K115" s="33" t="s">
        <v>97</v>
      </c>
      <c r="L115" s="34" t="s">
        <v>317</v>
      </c>
      <c r="M115" s="227">
        <f>SUM(N115:P115)</f>
        <v>52007</v>
      </c>
      <c r="N115" s="228">
        <f>SUM(N116:N120)</f>
        <v>0</v>
      </c>
      <c r="O115" s="228">
        <f>SUM(O116:O120)</f>
        <v>52007</v>
      </c>
      <c r="P115" s="229">
        <f t="shared" ref="P115" si="35">SUM(P116:P120)</f>
        <v>0</v>
      </c>
    </row>
    <row r="116" spans="1:16" ht="12" customHeight="1" x14ac:dyDescent="0.2">
      <c r="A116" s="22"/>
      <c r="B116" s="16"/>
      <c r="C116" s="16"/>
      <c r="D116" s="16"/>
      <c r="E116" s="23"/>
      <c r="F116" s="85"/>
      <c r="G116" s="92"/>
      <c r="H116" s="92"/>
      <c r="I116" s="92"/>
      <c r="J116" s="35" t="s">
        <v>247</v>
      </c>
      <c r="K116" s="35" t="s">
        <v>98</v>
      </c>
      <c r="L116" s="16" t="s">
        <v>99</v>
      </c>
      <c r="M116" s="221">
        <f>SUM(N116:O116)</f>
        <v>52007</v>
      </c>
      <c r="N116" s="222">
        <v>0</v>
      </c>
      <c r="O116" s="222">
        <v>52007</v>
      </c>
      <c r="P116" s="223"/>
    </row>
    <row r="117" spans="1:16" ht="12" hidden="1" customHeight="1" x14ac:dyDescent="0.2">
      <c r="A117" s="22"/>
      <c r="B117" s="16"/>
      <c r="C117" s="16"/>
      <c r="D117" s="16"/>
      <c r="E117" s="23"/>
      <c r="F117" s="85"/>
      <c r="G117" s="86"/>
      <c r="H117" s="86"/>
      <c r="I117" s="86"/>
      <c r="J117" s="35" t="s">
        <v>247</v>
      </c>
      <c r="K117" s="35" t="s">
        <v>318</v>
      </c>
      <c r="L117" s="16" t="s">
        <v>319</v>
      </c>
      <c r="M117" s="221"/>
      <c r="N117" s="222"/>
      <c r="O117" s="222"/>
      <c r="P117" s="223"/>
    </row>
    <row r="118" spans="1:16" ht="12" hidden="1" customHeight="1" x14ac:dyDescent="0.2">
      <c r="A118" s="22"/>
      <c r="B118" s="16"/>
      <c r="C118" s="16"/>
      <c r="D118" s="16"/>
      <c r="E118" s="23"/>
      <c r="F118" s="85"/>
      <c r="G118" s="86"/>
      <c r="H118" s="86"/>
      <c r="I118" s="86"/>
      <c r="J118" s="35" t="s">
        <v>247</v>
      </c>
      <c r="K118" s="35" t="s">
        <v>320</v>
      </c>
      <c r="L118" s="16" t="s">
        <v>321</v>
      </c>
      <c r="M118" s="221"/>
      <c r="N118" s="222"/>
      <c r="O118" s="222"/>
      <c r="P118" s="223"/>
    </row>
    <row r="119" spans="1:16" ht="12" hidden="1" customHeight="1" x14ac:dyDescent="0.2">
      <c r="A119" s="22"/>
      <c r="B119" s="16"/>
      <c r="C119" s="16"/>
      <c r="D119" s="16"/>
      <c r="E119" s="23"/>
      <c r="F119" s="85"/>
      <c r="G119" s="86"/>
      <c r="H119" s="92"/>
      <c r="I119" s="86"/>
      <c r="J119" s="35" t="s">
        <v>247</v>
      </c>
      <c r="K119" s="35" t="s">
        <v>100</v>
      </c>
      <c r="L119" s="16" t="s">
        <v>322</v>
      </c>
      <c r="M119" s="221"/>
      <c r="N119" s="222"/>
      <c r="O119" s="222"/>
      <c r="P119" s="223"/>
    </row>
    <row r="120" spans="1:16" ht="12" hidden="1" customHeight="1" x14ac:dyDescent="0.2">
      <c r="A120" s="22"/>
      <c r="B120" s="16"/>
      <c r="C120" s="16"/>
      <c r="D120" s="16"/>
      <c r="E120" s="23"/>
      <c r="F120" s="85"/>
      <c r="G120" s="86"/>
      <c r="H120" s="86"/>
      <c r="I120" s="86"/>
      <c r="J120" s="35" t="s">
        <v>247</v>
      </c>
      <c r="K120" s="35" t="s">
        <v>323</v>
      </c>
      <c r="L120" s="16" t="s">
        <v>324</v>
      </c>
      <c r="M120" s="221">
        <f t="shared" ref="M120" si="36">SUM(N120:P120)</f>
        <v>0</v>
      </c>
      <c r="N120" s="222"/>
      <c r="O120" s="222"/>
      <c r="P120" s="223"/>
    </row>
    <row r="121" spans="1:16" ht="12" hidden="1" customHeight="1" x14ac:dyDescent="0.2">
      <c r="A121" s="22"/>
      <c r="B121" s="16"/>
      <c r="C121" s="16"/>
      <c r="D121" s="16"/>
      <c r="E121" s="23"/>
      <c r="F121" s="88"/>
      <c r="G121" s="89"/>
      <c r="H121" s="89"/>
      <c r="I121" s="89"/>
      <c r="J121" s="33" t="s">
        <v>247</v>
      </c>
      <c r="K121" s="33" t="s">
        <v>325</v>
      </c>
      <c r="L121" s="34" t="s">
        <v>326</v>
      </c>
      <c r="M121" s="227">
        <f>SUM(N121:P121)</f>
        <v>0</v>
      </c>
      <c r="N121" s="228">
        <f>SUM(N122:N125)</f>
        <v>0</v>
      </c>
      <c r="O121" s="228">
        <f>SUM(O122:O125)</f>
        <v>0</v>
      </c>
      <c r="P121" s="229">
        <f t="shared" ref="P121" si="37">SUM(P122:P125)</f>
        <v>0</v>
      </c>
    </row>
    <row r="122" spans="1:16" ht="12" hidden="1" customHeight="1" x14ac:dyDescent="0.2">
      <c r="A122" s="22"/>
      <c r="B122" s="16"/>
      <c r="C122" s="16"/>
      <c r="D122" s="16"/>
      <c r="E122" s="23"/>
      <c r="F122" s="85"/>
      <c r="G122" s="92"/>
      <c r="H122" s="92"/>
      <c r="I122" s="92"/>
      <c r="J122" s="35" t="s">
        <v>247</v>
      </c>
      <c r="K122" s="35" t="s">
        <v>327</v>
      </c>
      <c r="L122" s="16" t="s">
        <v>328</v>
      </c>
      <c r="M122" s="221">
        <f>SUM(N122:P122)</f>
        <v>0</v>
      </c>
      <c r="N122" s="222"/>
      <c r="O122" s="222"/>
      <c r="P122" s="223"/>
    </row>
    <row r="123" spans="1:16" ht="12" hidden="1" customHeight="1" x14ac:dyDescent="0.2">
      <c r="A123" s="22"/>
      <c r="B123" s="16"/>
      <c r="C123" s="16"/>
      <c r="D123" s="16"/>
      <c r="E123" s="23"/>
      <c r="F123" s="85"/>
      <c r="G123" s="86"/>
      <c r="H123" s="86"/>
      <c r="I123" s="86"/>
      <c r="J123" s="35" t="s">
        <v>247</v>
      </c>
      <c r="K123" s="35" t="s">
        <v>329</v>
      </c>
      <c r="L123" s="16" t="s">
        <v>330</v>
      </c>
      <c r="M123" s="221">
        <f t="shared" ref="M123:M125" si="38">SUM(N123:P123)</f>
        <v>0</v>
      </c>
      <c r="N123" s="222"/>
      <c r="O123" s="222"/>
      <c r="P123" s="223"/>
    </row>
    <row r="124" spans="1:16" ht="12" hidden="1" customHeight="1" x14ac:dyDescent="0.2">
      <c r="A124" s="22"/>
      <c r="B124" s="16"/>
      <c r="C124" s="16"/>
      <c r="D124" s="16"/>
      <c r="E124" s="23"/>
      <c r="F124" s="85"/>
      <c r="G124" s="86"/>
      <c r="H124" s="86"/>
      <c r="I124" s="86"/>
      <c r="J124" s="35" t="s">
        <v>247</v>
      </c>
      <c r="K124" s="35" t="s">
        <v>331</v>
      </c>
      <c r="L124" s="16" t="s">
        <v>332</v>
      </c>
      <c r="M124" s="221">
        <f t="shared" si="38"/>
        <v>0</v>
      </c>
      <c r="N124" s="222"/>
      <c r="O124" s="222"/>
      <c r="P124" s="223"/>
    </row>
    <row r="125" spans="1:16" ht="12" hidden="1" customHeight="1" x14ac:dyDescent="0.2">
      <c r="A125" s="22"/>
      <c r="B125" s="16"/>
      <c r="C125" s="16"/>
      <c r="D125" s="16"/>
      <c r="E125" s="23"/>
      <c r="F125" s="85"/>
      <c r="G125" s="86"/>
      <c r="H125" s="86"/>
      <c r="I125" s="86"/>
      <c r="J125" s="35" t="s">
        <v>247</v>
      </c>
      <c r="K125" s="35" t="s">
        <v>333</v>
      </c>
      <c r="L125" s="16" t="s">
        <v>334</v>
      </c>
      <c r="M125" s="221">
        <f t="shared" si="38"/>
        <v>0</v>
      </c>
      <c r="N125" s="222"/>
      <c r="O125" s="222"/>
      <c r="P125" s="223"/>
    </row>
    <row r="126" spans="1:16" ht="12" hidden="1" customHeight="1" x14ac:dyDescent="0.2">
      <c r="A126" s="22"/>
      <c r="B126" s="16"/>
      <c r="C126" s="16"/>
      <c r="D126" s="16"/>
      <c r="E126" s="23"/>
      <c r="F126" s="88"/>
      <c r="G126" s="89"/>
      <c r="H126" s="89"/>
      <c r="I126" s="89"/>
      <c r="J126" s="33" t="s">
        <v>247</v>
      </c>
      <c r="K126" s="33" t="s">
        <v>335</v>
      </c>
      <c r="L126" s="34" t="s">
        <v>336</v>
      </c>
      <c r="M126" s="227">
        <f>SUM(N126:P126)</f>
        <v>0</v>
      </c>
      <c r="N126" s="228">
        <f>SUM(N127:N133)</f>
        <v>0</v>
      </c>
      <c r="O126" s="228">
        <f>SUM(O127:O133)</f>
        <v>0</v>
      </c>
      <c r="P126" s="229">
        <f t="shared" ref="P126" si="39">SUM(P127:P133)</f>
        <v>0</v>
      </c>
    </row>
    <row r="127" spans="1:16" ht="12" hidden="1" customHeight="1" x14ac:dyDescent="0.2">
      <c r="A127" s="22"/>
      <c r="B127" s="16"/>
      <c r="C127" s="16"/>
      <c r="D127" s="16"/>
      <c r="E127" s="23"/>
      <c r="F127" s="85"/>
      <c r="G127" s="92"/>
      <c r="H127" s="92"/>
      <c r="I127" s="92"/>
      <c r="J127" s="35" t="s">
        <v>247</v>
      </c>
      <c r="K127" s="35" t="s">
        <v>337</v>
      </c>
      <c r="L127" s="16" t="s">
        <v>338</v>
      </c>
      <c r="M127" s="221">
        <f>SUM(N127:P127)</f>
        <v>0</v>
      </c>
      <c r="N127" s="222"/>
      <c r="O127" s="222"/>
      <c r="P127" s="223"/>
    </row>
    <row r="128" spans="1:16" ht="12" hidden="1" customHeight="1" x14ac:dyDescent="0.2">
      <c r="A128" s="22"/>
      <c r="B128" s="16"/>
      <c r="C128" s="16"/>
      <c r="D128" s="16"/>
      <c r="E128" s="23"/>
      <c r="F128" s="85"/>
      <c r="G128" s="86"/>
      <c r="H128" s="86"/>
      <c r="I128" s="86"/>
      <c r="J128" s="35" t="s">
        <v>247</v>
      </c>
      <c r="K128" s="35" t="s">
        <v>339</v>
      </c>
      <c r="L128" s="16" t="s">
        <v>340</v>
      </c>
      <c r="M128" s="221">
        <f t="shared" ref="M128:M133" si="40">SUM(N128:P128)</f>
        <v>0</v>
      </c>
      <c r="N128" s="222"/>
      <c r="O128" s="222"/>
      <c r="P128" s="223"/>
    </row>
    <row r="129" spans="1:16" ht="12" hidden="1" customHeight="1" x14ac:dyDescent="0.2">
      <c r="A129" s="22"/>
      <c r="B129" s="16"/>
      <c r="C129" s="16"/>
      <c r="D129" s="16"/>
      <c r="E129" s="23"/>
      <c r="F129" s="85"/>
      <c r="G129" s="86"/>
      <c r="H129" s="86"/>
      <c r="I129" s="86"/>
      <c r="J129" s="35" t="s">
        <v>247</v>
      </c>
      <c r="K129" s="35" t="s">
        <v>341</v>
      </c>
      <c r="L129" s="16" t="s">
        <v>342</v>
      </c>
      <c r="M129" s="221">
        <f t="shared" si="40"/>
        <v>0</v>
      </c>
      <c r="N129" s="222"/>
      <c r="O129" s="222"/>
      <c r="P129" s="223"/>
    </row>
    <row r="130" spans="1:16" ht="12" hidden="1" customHeight="1" x14ac:dyDescent="0.2">
      <c r="A130" s="22"/>
      <c r="B130" s="16"/>
      <c r="C130" s="16"/>
      <c r="D130" s="16"/>
      <c r="E130" s="23"/>
      <c r="F130" s="85"/>
      <c r="G130" s="86"/>
      <c r="H130" s="92"/>
      <c r="I130" s="86"/>
      <c r="J130" s="35" t="s">
        <v>247</v>
      </c>
      <c r="K130" s="35" t="s">
        <v>101</v>
      </c>
      <c r="L130" s="16" t="s">
        <v>102</v>
      </c>
      <c r="M130" s="221"/>
      <c r="N130" s="222"/>
      <c r="O130" s="222"/>
      <c r="P130" s="223"/>
    </row>
    <row r="131" spans="1:16" ht="12" hidden="1" customHeight="1" x14ac:dyDescent="0.2">
      <c r="A131" s="22"/>
      <c r="B131" s="16"/>
      <c r="C131" s="16"/>
      <c r="D131" s="16"/>
      <c r="E131" s="23"/>
      <c r="F131" s="85"/>
      <c r="G131" s="86"/>
      <c r="H131" s="86"/>
      <c r="I131" s="86"/>
      <c r="J131" s="35" t="s">
        <v>247</v>
      </c>
      <c r="K131" s="35" t="s">
        <v>343</v>
      </c>
      <c r="L131" s="16" t="s">
        <v>344</v>
      </c>
      <c r="M131" s="221">
        <f t="shared" si="40"/>
        <v>0</v>
      </c>
      <c r="N131" s="222"/>
      <c r="O131" s="222"/>
      <c r="P131" s="223"/>
    </row>
    <row r="132" spans="1:16" ht="12" hidden="1" customHeight="1" x14ac:dyDescent="0.2">
      <c r="A132" s="22"/>
      <c r="B132" s="16"/>
      <c r="C132" s="16"/>
      <c r="D132" s="16"/>
      <c r="E132" s="23"/>
      <c r="F132" s="85"/>
      <c r="G132" s="86"/>
      <c r="H132" s="86"/>
      <c r="I132" s="86"/>
      <c r="J132" s="35" t="s">
        <v>247</v>
      </c>
      <c r="K132" s="35" t="s">
        <v>345</v>
      </c>
      <c r="L132" s="16" t="s">
        <v>346</v>
      </c>
      <c r="M132" s="221">
        <f t="shared" si="40"/>
        <v>0</v>
      </c>
      <c r="N132" s="222"/>
      <c r="O132" s="222"/>
      <c r="P132" s="223"/>
    </row>
    <row r="133" spans="1:16" ht="12" hidden="1" customHeight="1" x14ac:dyDescent="0.2">
      <c r="A133" s="22"/>
      <c r="B133" s="16"/>
      <c r="C133" s="16"/>
      <c r="D133" s="16"/>
      <c r="E133" s="23"/>
      <c r="F133" s="85"/>
      <c r="G133" s="86"/>
      <c r="H133" s="86"/>
      <c r="I133" s="86"/>
      <c r="J133" s="35" t="s">
        <v>247</v>
      </c>
      <c r="K133" s="35" t="s">
        <v>347</v>
      </c>
      <c r="L133" s="16" t="s">
        <v>348</v>
      </c>
      <c r="M133" s="221">
        <f t="shared" si="40"/>
        <v>0</v>
      </c>
      <c r="N133" s="222"/>
      <c r="O133" s="222"/>
      <c r="P133" s="223"/>
    </row>
    <row r="134" spans="1:16" ht="12" hidden="1" customHeight="1" x14ac:dyDescent="0.2">
      <c r="A134" s="22"/>
      <c r="B134" s="16"/>
      <c r="C134" s="16"/>
      <c r="D134" s="16"/>
      <c r="E134" s="23"/>
      <c r="F134" s="88"/>
      <c r="G134" s="89"/>
      <c r="H134" s="89"/>
      <c r="I134" s="89"/>
      <c r="J134" s="33" t="s">
        <v>247</v>
      </c>
      <c r="K134" s="33" t="s">
        <v>349</v>
      </c>
      <c r="L134" s="34" t="s">
        <v>350</v>
      </c>
      <c r="M134" s="227">
        <f>SUM(N134:P134)</f>
        <v>0</v>
      </c>
      <c r="N134" s="228">
        <f>SUM(N135:N143)</f>
        <v>0</v>
      </c>
      <c r="O134" s="228">
        <f>SUM(O135:O136)</f>
        <v>0</v>
      </c>
      <c r="P134" s="229">
        <f t="shared" ref="P134" si="41">SUM(P135:P143)</f>
        <v>0</v>
      </c>
    </row>
    <row r="135" spans="1:16" ht="12" hidden="1" customHeight="1" x14ac:dyDescent="0.2">
      <c r="A135" s="22"/>
      <c r="B135" s="16"/>
      <c r="C135" s="16"/>
      <c r="D135" s="16"/>
      <c r="E135" s="23"/>
      <c r="F135" s="85"/>
      <c r="G135" s="92"/>
      <c r="H135" s="92"/>
      <c r="I135" s="92"/>
      <c r="J135" s="35" t="s">
        <v>247</v>
      </c>
      <c r="K135" s="35" t="s">
        <v>351</v>
      </c>
      <c r="L135" s="16" t="s">
        <v>352</v>
      </c>
      <c r="M135" s="221"/>
      <c r="N135" s="222"/>
      <c r="O135" s="222"/>
      <c r="P135" s="223"/>
    </row>
    <row r="136" spans="1:16" ht="12" hidden="1" customHeight="1" x14ac:dyDescent="0.2">
      <c r="A136" s="22"/>
      <c r="B136" s="16"/>
      <c r="C136" s="16"/>
      <c r="D136" s="16"/>
      <c r="E136" s="23"/>
      <c r="F136" s="85"/>
      <c r="G136" s="86"/>
      <c r="H136" s="86"/>
      <c r="I136" s="86"/>
      <c r="J136" s="35" t="s">
        <v>247</v>
      </c>
      <c r="K136" s="35" t="s">
        <v>353</v>
      </c>
      <c r="L136" s="16" t="s">
        <v>354</v>
      </c>
      <c r="M136" s="221"/>
      <c r="N136" s="222"/>
      <c r="O136" s="222"/>
      <c r="P136" s="223"/>
    </row>
    <row r="137" spans="1:16" ht="12" hidden="1" customHeight="1" x14ac:dyDescent="0.2">
      <c r="A137" s="22"/>
      <c r="B137" s="16"/>
      <c r="C137" s="16"/>
      <c r="D137" s="16"/>
      <c r="E137" s="23"/>
      <c r="F137" s="88"/>
      <c r="G137" s="89"/>
      <c r="H137" s="89"/>
      <c r="I137" s="89"/>
      <c r="J137" s="33" t="s">
        <v>247</v>
      </c>
      <c r="K137" s="33" t="s">
        <v>355</v>
      </c>
      <c r="L137" s="34" t="s">
        <v>356</v>
      </c>
      <c r="M137" s="227">
        <f>SUM(N137:P137)</f>
        <v>0</v>
      </c>
      <c r="N137" s="228">
        <f>SUM(N138:N141)</f>
        <v>0</v>
      </c>
      <c r="O137" s="228">
        <f>SUM(O138:O141)</f>
        <v>0</v>
      </c>
      <c r="P137" s="229">
        <f t="shared" ref="P137" si="42">SUM(P138:P141)</f>
        <v>0</v>
      </c>
    </row>
    <row r="138" spans="1:16" ht="12" hidden="1" customHeight="1" x14ac:dyDescent="0.2">
      <c r="A138" s="22"/>
      <c r="B138" s="16"/>
      <c r="C138" s="16"/>
      <c r="D138" s="16"/>
      <c r="E138" s="23"/>
      <c r="F138" s="85"/>
      <c r="G138" s="92"/>
      <c r="H138" s="92"/>
      <c r="I138" s="92"/>
      <c r="J138" s="35" t="s">
        <v>247</v>
      </c>
      <c r="K138" s="35" t="s">
        <v>357</v>
      </c>
      <c r="L138" s="16" t="s">
        <v>358</v>
      </c>
      <c r="M138" s="221">
        <f>SUM(N138:P138)</f>
        <v>0</v>
      </c>
      <c r="N138" s="222"/>
      <c r="O138" s="222"/>
      <c r="P138" s="223"/>
    </row>
    <row r="139" spans="1:16" ht="12" hidden="1" customHeight="1" x14ac:dyDescent="0.2">
      <c r="A139" s="22"/>
      <c r="B139" s="16"/>
      <c r="C139" s="16"/>
      <c r="D139" s="16"/>
      <c r="E139" s="23"/>
      <c r="F139" s="85"/>
      <c r="G139" s="86"/>
      <c r="H139" s="86"/>
      <c r="I139" s="86"/>
      <c r="J139" s="35" t="s">
        <v>247</v>
      </c>
      <c r="K139" s="35" t="s">
        <v>359</v>
      </c>
      <c r="L139" s="16" t="s">
        <v>360</v>
      </c>
      <c r="M139" s="221"/>
      <c r="N139" s="222"/>
      <c r="O139" s="222"/>
      <c r="P139" s="223"/>
    </row>
    <row r="140" spans="1:16" ht="12" hidden="1" customHeight="1" x14ac:dyDescent="0.2">
      <c r="A140" s="22"/>
      <c r="B140" s="16"/>
      <c r="C140" s="16"/>
      <c r="D140" s="16"/>
      <c r="E140" s="23"/>
      <c r="F140" s="85"/>
      <c r="G140" s="86"/>
      <c r="H140" s="86"/>
      <c r="I140" s="86"/>
      <c r="J140" s="35" t="s">
        <v>247</v>
      </c>
      <c r="K140" s="35" t="s">
        <v>361</v>
      </c>
      <c r="L140" s="16" t="s">
        <v>362</v>
      </c>
      <c r="M140" s="221"/>
      <c r="N140" s="222"/>
      <c r="O140" s="222"/>
      <c r="P140" s="223"/>
    </row>
    <row r="141" spans="1:16" ht="12" hidden="1" customHeight="1" x14ac:dyDescent="0.2">
      <c r="A141" s="22"/>
      <c r="B141" s="16"/>
      <c r="C141" s="16"/>
      <c r="D141" s="16"/>
      <c r="E141" s="23"/>
      <c r="F141" s="85"/>
      <c r="G141" s="86"/>
      <c r="H141" s="86"/>
      <c r="I141" s="86"/>
      <c r="J141" s="35" t="s">
        <v>247</v>
      </c>
      <c r="K141" s="35" t="s">
        <v>363</v>
      </c>
      <c r="L141" s="16" t="s">
        <v>364</v>
      </c>
      <c r="M141" s="221"/>
      <c r="N141" s="222"/>
      <c r="O141" s="222"/>
      <c r="P141" s="223"/>
    </row>
    <row r="142" spans="1:16" ht="12" hidden="1" customHeight="1" x14ac:dyDescent="0.2">
      <c r="A142" s="22"/>
      <c r="B142" s="16"/>
      <c r="C142" s="16"/>
      <c r="D142" s="16"/>
      <c r="E142" s="23"/>
      <c r="F142" s="88"/>
      <c r="G142" s="89"/>
      <c r="H142" s="89"/>
      <c r="I142" s="89"/>
      <c r="J142" s="33" t="s">
        <v>247</v>
      </c>
      <c r="K142" s="33" t="s">
        <v>103</v>
      </c>
      <c r="L142" s="34" t="s">
        <v>365</v>
      </c>
      <c r="M142" s="227">
        <f>SUM(N142:P142)</f>
        <v>0</v>
      </c>
      <c r="N142" s="228">
        <f>SUM(N143:N150)</f>
        <v>0</v>
      </c>
      <c r="O142" s="228">
        <f>SUM(O143:O150)</f>
        <v>0</v>
      </c>
      <c r="P142" s="229">
        <f t="shared" ref="P142" si="43">SUM(P143:P150)</f>
        <v>0</v>
      </c>
    </row>
    <row r="143" spans="1:16" ht="11.25" hidden="1" x14ac:dyDescent="0.2">
      <c r="A143" s="22"/>
      <c r="B143" s="16"/>
      <c r="C143" s="16"/>
      <c r="D143" s="16"/>
      <c r="E143" s="23"/>
      <c r="F143" s="85"/>
      <c r="G143" s="92"/>
      <c r="H143" s="92"/>
      <c r="I143" s="92"/>
      <c r="J143" s="35" t="s">
        <v>247</v>
      </c>
      <c r="K143" s="35" t="s">
        <v>104</v>
      </c>
      <c r="L143" s="16" t="s">
        <v>105</v>
      </c>
      <c r="M143" s="221"/>
      <c r="N143" s="222"/>
      <c r="O143" s="222"/>
      <c r="P143" s="223"/>
    </row>
    <row r="144" spans="1:16" ht="12" hidden="1" customHeight="1" x14ac:dyDescent="0.2">
      <c r="A144" s="22"/>
      <c r="B144" s="16"/>
      <c r="C144" s="16"/>
      <c r="D144" s="16"/>
      <c r="E144" s="23"/>
      <c r="F144" s="85"/>
      <c r="G144" s="86"/>
      <c r="H144" s="86"/>
      <c r="I144" s="86"/>
      <c r="J144" s="35" t="s">
        <v>247</v>
      </c>
      <c r="K144" s="35" t="s">
        <v>366</v>
      </c>
      <c r="L144" s="16" t="s">
        <v>367</v>
      </c>
      <c r="M144" s="221"/>
      <c r="N144" s="222"/>
      <c r="O144" s="222"/>
      <c r="P144" s="223"/>
    </row>
    <row r="145" spans="1:16" ht="11.25" hidden="1" x14ac:dyDescent="0.2">
      <c r="A145" s="22"/>
      <c r="B145" s="16"/>
      <c r="C145" s="16"/>
      <c r="D145" s="16"/>
      <c r="E145" s="23"/>
      <c r="F145" s="85"/>
      <c r="G145" s="86"/>
      <c r="H145" s="92"/>
      <c r="I145" s="86"/>
      <c r="J145" s="35" t="s">
        <v>247</v>
      </c>
      <c r="K145" s="35" t="s">
        <v>106</v>
      </c>
      <c r="L145" s="16" t="s">
        <v>107</v>
      </c>
      <c r="M145" s="221"/>
      <c r="N145" s="222"/>
      <c r="O145" s="222"/>
      <c r="P145" s="223"/>
    </row>
    <row r="146" spans="1:16" ht="11.25" hidden="1" x14ac:dyDescent="0.2">
      <c r="A146" s="22"/>
      <c r="B146" s="16"/>
      <c r="C146" s="16"/>
      <c r="D146" s="16"/>
      <c r="E146" s="23"/>
      <c r="F146" s="85"/>
      <c r="G146" s="86"/>
      <c r="H146" s="92"/>
      <c r="I146" s="86"/>
      <c r="J146" s="35" t="s">
        <v>247</v>
      </c>
      <c r="K146" s="35" t="s">
        <v>368</v>
      </c>
      <c r="L146" s="16" t="s">
        <v>369</v>
      </c>
      <c r="M146" s="221"/>
      <c r="N146" s="222"/>
      <c r="O146" s="222"/>
      <c r="P146" s="223"/>
    </row>
    <row r="147" spans="1:16" ht="11.25" hidden="1" x14ac:dyDescent="0.2">
      <c r="A147" s="22"/>
      <c r="B147" s="16"/>
      <c r="C147" s="16"/>
      <c r="D147" s="16"/>
      <c r="E147" s="23"/>
      <c r="F147" s="85"/>
      <c r="G147" s="86"/>
      <c r="H147" s="92"/>
      <c r="I147" s="86"/>
      <c r="J147" s="35" t="s">
        <v>247</v>
      </c>
      <c r="K147" s="35" t="s">
        <v>108</v>
      </c>
      <c r="L147" s="16" t="s">
        <v>109</v>
      </c>
      <c r="M147" s="221"/>
      <c r="N147" s="222"/>
      <c r="O147" s="222"/>
      <c r="P147" s="223"/>
    </row>
    <row r="148" spans="1:16" ht="11.25" hidden="1" x14ac:dyDescent="0.2">
      <c r="A148" s="22"/>
      <c r="B148" s="16"/>
      <c r="C148" s="16"/>
      <c r="D148" s="16"/>
      <c r="E148" s="23"/>
      <c r="F148" s="85"/>
      <c r="G148" s="86"/>
      <c r="H148" s="92"/>
      <c r="I148" s="86"/>
      <c r="J148" s="35" t="s">
        <v>247</v>
      </c>
      <c r="K148" s="35" t="s">
        <v>370</v>
      </c>
      <c r="L148" s="16" t="s">
        <v>371</v>
      </c>
      <c r="M148" s="221"/>
      <c r="N148" s="222"/>
      <c r="O148" s="222"/>
      <c r="P148" s="223"/>
    </row>
    <row r="149" spans="1:16" ht="11.25" hidden="1" x14ac:dyDescent="0.2">
      <c r="A149" s="22"/>
      <c r="B149" s="16"/>
      <c r="C149" s="16"/>
      <c r="D149" s="16"/>
      <c r="E149" s="23"/>
      <c r="F149" s="85"/>
      <c r="G149" s="86"/>
      <c r="H149" s="92"/>
      <c r="I149" s="86"/>
      <c r="J149" s="31" t="s">
        <v>247</v>
      </c>
      <c r="K149" s="35" t="s">
        <v>372</v>
      </c>
      <c r="L149" s="16" t="s">
        <v>373</v>
      </c>
      <c r="M149" s="221"/>
      <c r="N149" s="222"/>
      <c r="O149" s="222"/>
      <c r="P149" s="223"/>
    </row>
    <row r="150" spans="1:16" ht="11.25" hidden="1" x14ac:dyDescent="0.2">
      <c r="A150" s="22"/>
      <c r="B150" s="16"/>
      <c r="C150" s="16"/>
      <c r="D150" s="16"/>
      <c r="E150" s="23"/>
      <c r="F150" s="85"/>
      <c r="G150" s="98"/>
      <c r="H150" s="92"/>
      <c r="I150" s="86"/>
      <c r="J150" s="31" t="s">
        <v>247</v>
      </c>
      <c r="K150" s="35" t="s">
        <v>110</v>
      </c>
      <c r="L150" s="16" t="s">
        <v>374</v>
      </c>
      <c r="M150" s="221"/>
      <c r="N150" s="237"/>
      <c r="O150" s="222"/>
      <c r="P150" s="223"/>
    </row>
    <row r="151" spans="1:16" ht="11.25" hidden="1" x14ac:dyDescent="0.2">
      <c r="A151" s="22"/>
      <c r="B151" s="16"/>
      <c r="C151" s="16"/>
      <c r="D151" s="16"/>
      <c r="E151" s="23"/>
      <c r="F151" s="85"/>
      <c r="G151" s="98"/>
      <c r="H151" s="86"/>
      <c r="I151" s="86"/>
      <c r="J151" s="31"/>
      <c r="K151" s="35"/>
      <c r="L151" s="51"/>
      <c r="M151" s="221"/>
      <c r="N151" s="237"/>
      <c r="O151" s="222"/>
      <c r="P151" s="223"/>
    </row>
    <row r="152" spans="1:16" ht="11.25" hidden="1" x14ac:dyDescent="0.2">
      <c r="A152" s="22"/>
      <c r="B152" s="16"/>
      <c r="C152" s="16"/>
      <c r="D152" s="16"/>
      <c r="E152" s="23"/>
      <c r="F152" s="85"/>
      <c r="G152" s="98"/>
      <c r="H152" s="86"/>
      <c r="I152" s="86"/>
      <c r="J152" s="31"/>
      <c r="K152" s="35"/>
      <c r="L152" s="51"/>
      <c r="M152" s="221"/>
      <c r="N152" s="237"/>
      <c r="O152" s="222"/>
      <c r="P152" s="223"/>
    </row>
    <row r="153" spans="1:16" ht="11.25" hidden="1" customHeight="1" x14ac:dyDescent="0.2">
      <c r="A153" s="22"/>
      <c r="B153" s="16"/>
      <c r="C153" s="16"/>
      <c r="D153" s="16"/>
      <c r="E153" s="23"/>
      <c r="F153" s="85"/>
      <c r="G153" s="98"/>
      <c r="H153" s="86"/>
      <c r="I153" s="86"/>
      <c r="J153" s="35"/>
      <c r="K153" s="16"/>
      <c r="L153" s="16"/>
      <c r="M153" s="221"/>
      <c r="N153" s="237"/>
      <c r="O153" s="222"/>
      <c r="P153" s="223"/>
    </row>
    <row r="154" spans="1:16" ht="12" hidden="1" customHeight="1" thickBot="1" x14ac:dyDescent="0.25">
      <c r="A154" s="47"/>
      <c r="B154" s="48"/>
      <c r="C154" s="48"/>
      <c r="D154" s="48"/>
      <c r="E154" s="49"/>
      <c r="F154" s="97"/>
      <c r="G154" s="99"/>
      <c r="H154" s="100"/>
      <c r="I154" s="100"/>
      <c r="J154" s="52"/>
      <c r="K154" s="50"/>
      <c r="L154" s="48"/>
      <c r="M154" s="238"/>
      <c r="N154" s="239"/>
      <c r="O154" s="240"/>
      <c r="P154" s="241"/>
    </row>
    <row r="155" spans="1:16" ht="12" hidden="1" customHeight="1" x14ac:dyDescent="0.2">
      <c r="A155" s="22"/>
      <c r="B155" s="16"/>
      <c r="C155" s="16"/>
      <c r="D155" s="16"/>
      <c r="E155" s="23"/>
      <c r="F155" s="88"/>
      <c r="G155" s="89"/>
      <c r="H155" s="89"/>
      <c r="I155" s="89"/>
      <c r="J155" s="31"/>
      <c r="K155" s="33">
        <v>3</v>
      </c>
      <c r="L155" s="34" t="s">
        <v>375</v>
      </c>
      <c r="M155" s="227"/>
      <c r="N155" s="228"/>
      <c r="O155" s="228"/>
      <c r="P155" s="229"/>
    </row>
    <row r="156" spans="1:16" ht="12" hidden="1" customHeight="1" x14ac:dyDescent="0.2">
      <c r="A156" s="22"/>
      <c r="B156" s="16"/>
      <c r="C156" s="16"/>
      <c r="D156" s="16"/>
      <c r="E156" s="23"/>
      <c r="F156" s="90"/>
      <c r="G156" s="91"/>
      <c r="H156" s="91"/>
      <c r="I156" s="91"/>
      <c r="J156" s="31" t="s">
        <v>247</v>
      </c>
      <c r="K156" s="33" t="s">
        <v>376</v>
      </c>
      <c r="L156" s="34" t="s">
        <v>377</v>
      </c>
      <c r="M156" s="242"/>
      <c r="N156" s="224"/>
      <c r="O156" s="224"/>
      <c r="P156" s="225"/>
    </row>
    <row r="157" spans="1:16" ht="12" hidden="1" customHeight="1" x14ac:dyDescent="0.2">
      <c r="A157" s="22"/>
      <c r="B157" s="16"/>
      <c r="C157" s="16"/>
      <c r="D157" s="16"/>
      <c r="E157" s="23"/>
      <c r="F157" s="85"/>
      <c r="G157" s="92"/>
      <c r="H157" s="92"/>
      <c r="I157" s="92"/>
      <c r="J157" s="31" t="s">
        <v>247</v>
      </c>
      <c r="K157" s="35" t="s">
        <v>378</v>
      </c>
      <c r="L157" s="32" t="s">
        <v>379</v>
      </c>
      <c r="M157" s="221"/>
      <c r="N157" s="222"/>
      <c r="O157" s="222"/>
      <c r="P157" s="223"/>
    </row>
    <row r="158" spans="1:16" ht="12" hidden="1" customHeight="1" x14ac:dyDescent="0.2">
      <c r="A158" s="22"/>
      <c r="B158" s="16"/>
      <c r="C158" s="16"/>
      <c r="D158" s="16"/>
      <c r="E158" s="23"/>
      <c r="F158" s="85"/>
      <c r="G158" s="101"/>
      <c r="H158" s="92"/>
      <c r="I158" s="92"/>
      <c r="J158" s="31" t="s">
        <v>247</v>
      </c>
      <c r="K158" s="35" t="s">
        <v>380</v>
      </c>
      <c r="L158" s="16" t="s">
        <v>381</v>
      </c>
      <c r="M158" s="221"/>
      <c r="N158" s="237"/>
      <c r="O158" s="222"/>
      <c r="P158" s="223"/>
    </row>
    <row r="159" spans="1:16" ht="12" hidden="1" customHeight="1" x14ac:dyDescent="0.2">
      <c r="A159" s="22"/>
      <c r="B159" s="16"/>
      <c r="C159" s="16"/>
      <c r="D159" s="16"/>
      <c r="E159" s="23"/>
      <c r="F159" s="85"/>
      <c r="G159" s="101"/>
      <c r="H159" s="92"/>
      <c r="I159" s="92"/>
      <c r="J159" s="31" t="s">
        <v>247</v>
      </c>
      <c r="K159" s="35" t="s">
        <v>382</v>
      </c>
      <c r="L159" s="32" t="s">
        <v>383</v>
      </c>
      <c r="M159" s="221"/>
      <c r="N159" s="237"/>
      <c r="O159" s="222"/>
      <c r="P159" s="223"/>
    </row>
    <row r="160" spans="1:16" ht="12" hidden="1" customHeight="1" x14ac:dyDescent="0.2">
      <c r="A160" s="22"/>
      <c r="B160" s="16"/>
      <c r="C160" s="16"/>
      <c r="D160" s="16"/>
      <c r="E160" s="23"/>
      <c r="F160" s="85"/>
      <c r="G160" s="101"/>
      <c r="H160" s="92"/>
      <c r="I160" s="92"/>
      <c r="J160" s="31" t="s">
        <v>247</v>
      </c>
      <c r="K160" s="35" t="s">
        <v>384</v>
      </c>
      <c r="L160" s="16" t="s">
        <v>385</v>
      </c>
      <c r="M160" s="221"/>
      <c r="N160" s="237"/>
      <c r="O160" s="222"/>
      <c r="P160" s="223"/>
    </row>
    <row r="161" spans="1:16" ht="12" hidden="1" customHeight="1" x14ac:dyDescent="0.2">
      <c r="A161" s="22"/>
      <c r="B161" s="16"/>
      <c r="C161" s="16"/>
      <c r="D161" s="16"/>
      <c r="E161" s="23"/>
      <c r="F161" s="85"/>
      <c r="G161" s="98"/>
      <c r="H161" s="86"/>
      <c r="I161" s="86"/>
      <c r="J161" s="31"/>
      <c r="K161" s="35"/>
      <c r="L161" s="16"/>
      <c r="M161" s="221"/>
      <c r="N161" s="237"/>
      <c r="O161" s="222"/>
      <c r="P161" s="223"/>
    </row>
    <row r="162" spans="1:16" ht="12" hidden="1" customHeight="1" x14ac:dyDescent="0.2">
      <c r="A162" s="22"/>
      <c r="B162" s="16"/>
      <c r="C162" s="16"/>
      <c r="D162" s="16"/>
      <c r="E162" s="23"/>
      <c r="F162" s="88"/>
      <c r="G162" s="89"/>
      <c r="H162" s="89"/>
      <c r="I162" s="89"/>
      <c r="J162" s="33" t="s">
        <v>175</v>
      </c>
      <c r="K162" s="29">
        <v>9</v>
      </c>
      <c r="L162" s="53" t="s">
        <v>386</v>
      </c>
      <c r="M162" s="227"/>
      <c r="N162" s="228"/>
      <c r="O162" s="228"/>
      <c r="P162" s="229"/>
    </row>
    <row r="163" spans="1:16" ht="12" hidden="1" customHeight="1" x14ac:dyDescent="0.2">
      <c r="A163" s="22"/>
      <c r="B163" s="16"/>
      <c r="C163" s="16"/>
      <c r="D163" s="16"/>
      <c r="E163" s="23"/>
      <c r="F163" s="90"/>
      <c r="G163" s="91"/>
      <c r="H163" s="91"/>
      <c r="I163" s="91"/>
      <c r="J163" s="35" t="s">
        <v>247</v>
      </c>
      <c r="K163" s="17" t="s">
        <v>387</v>
      </c>
      <c r="L163" s="53" t="s">
        <v>388</v>
      </c>
      <c r="M163" s="242"/>
      <c r="N163" s="224"/>
      <c r="O163" s="224"/>
      <c r="P163" s="225"/>
    </row>
    <row r="164" spans="1:16" ht="12" hidden="1" customHeight="1" x14ac:dyDescent="0.2">
      <c r="A164" s="22"/>
      <c r="B164" s="16"/>
      <c r="C164" s="16"/>
      <c r="D164" s="16"/>
      <c r="E164" s="23"/>
      <c r="F164" s="85"/>
      <c r="G164" s="98"/>
      <c r="H164" s="86"/>
      <c r="I164" s="86"/>
      <c r="J164" s="35" t="s">
        <v>247</v>
      </c>
      <c r="K164" s="31" t="s">
        <v>389</v>
      </c>
      <c r="L164" s="32" t="s">
        <v>390</v>
      </c>
      <c r="M164" s="221"/>
      <c r="N164" s="237"/>
      <c r="O164" s="222"/>
      <c r="P164" s="223"/>
    </row>
    <row r="165" spans="1:16" ht="12" hidden="1" customHeight="1" x14ac:dyDescent="0.2">
      <c r="A165" s="22"/>
      <c r="B165" s="16"/>
      <c r="C165" s="16"/>
      <c r="D165" s="16"/>
      <c r="E165" s="23"/>
      <c r="F165" s="85"/>
      <c r="G165" s="86"/>
      <c r="H165" s="86"/>
      <c r="I165" s="86"/>
      <c r="J165" s="31"/>
      <c r="K165" s="32"/>
      <c r="L165" s="16"/>
      <c r="M165" s="221"/>
      <c r="N165" s="222"/>
      <c r="O165" s="222"/>
      <c r="P165" s="223"/>
    </row>
    <row r="166" spans="1:16" ht="12" hidden="1" customHeight="1" x14ac:dyDescent="0.2">
      <c r="A166" s="22"/>
      <c r="B166" s="33" t="s">
        <v>391</v>
      </c>
      <c r="C166" s="27" t="s">
        <v>392</v>
      </c>
      <c r="D166" s="16"/>
      <c r="E166" s="23"/>
      <c r="F166" s="85">
        <f>SUM(G166:I166)</f>
        <v>0</v>
      </c>
      <c r="G166" s="86"/>
      <c r="H166" s="86"/>
      <c r="I166" s="86"/>
      <c r="J166" s="31" t="s">
        <v>175</v>
      </c>
      <c r="K166" s="29">
        <v>3</v>
      </c>
      <c r="L166" s="34" t="s">
        <v>393</v>
      </c>
      <c r="M166" s="221"/>
      <c r="N166" s="222"/>
      <c r="O166" s="222"/>
      <c r="P166" s="223"/>
    </row>
    <row r="167" spans="1:16" ht="12" hidden="1" customHeight="1" x14ac:dyDescent="0.2">
      <c r="A167" s="22"/>
      <c r="B167" s="33"/>
      <c r="C167" s="27"/>
      <c r="D167" s="16"/>
      <c r="E167" s="23"/>
      <c r="F167" s="85"/>
      <c r="G167" s="86"/>
      <c r="H167" s="86"/>
      <c r="I167" s="86"/>
      <c r="J167" s="31"/>
      <c r="K167" s="29"/>
      <c r="L167" s="34"/>
      <c r="M167" s="221"/>
      <c r="N167" s="222"/>
      <c r="O167" s="222"/>
      <c r="P167" s="223"/>
    </row>
    <row r="168" spans="1:16" ht="12" hidden="1" customHeight="1" x14ac:dyDescent="0.2">
      <c r="A168" s="22"/>
      <c r="B168" s="33"/>
      <c r="C168" s="35" t="s">
        <v>394</v>
      </c>
      <c r="D168" s="16" t="s">
        <v>395</v>
      </c>
      <c r="E168" s="23"/>
      <c r="F168" s="85">
        <f>SUM(G168:I168)</f>
        <v>0</v>
      </c>
      <c r="G168" s="86"/>
      <c r="H168" s="86">
        <f>+O169+O172+O180+O183</f>
        <v>0</v>
      </c>
      <c r="I168" s="86">
        <f>+P169+P172+P180+P183</f>
        <v>0</v>
      </c>
      <c r="J168" s="31"/>
      <c r="K168" s="29"/>
      <c r="L168" s="34"/>
      <c r="M168" s="221"/>
      <c r="N168" s="222"/>
      <c r="O168" s="222"/>
      <c r="P168" s="223"/>
    </row>
    <row r="169" spans="1:16" ht="12" hidden="1" customHeight="1" x14ac:dyDescent="0.2">
      <c r="A169" s="22"/>
      <c r="B169" s="16"/>
      <c r="C169" s="16"/>
      <c r="D169" s="16"/>
      <c r="E169" s="23"/>
      <c r="F169" s="85"/>
      <c r="G169" s="86"/>
      <c r="H169" s="86"/>
      <c r="I169" s="86"/>
      <c r="J169" s="17" t="s">
        <v>394</v>
      </c>
      <c r="K169" s="17" t="s">
        <v>396</v>
      </c>
      <c r="L169" s="34" t="s">
        <v>397</v>
      </c>
      <c r="M169" s="221"/>
      <c r="N169" s="222"/>
      <c r="O169" s="222"/>
      <c r="P169" s="223"/>
    </row>
    <row r="170" spans="1:16" ht="12" hidden="1" customHeight="1" x14ac:dyDescent="0.2">
      <c r="A170" s="22"/>
      <c r="B170" s="16"/>
      <c r="C170" s="16"/>
      <c r="D170" s="16"/>
      <c r="E170" s="23"/>
      <c r="F170" s="85"/>
      <c r="G170" s="86"/>
      <c r="H170" s="86"/>
      <c r="I170" s="86"/>
      <c r="J170" s="31" t="s">
        <v>394</v>
      </c>
      <c r="K170" s="35" t="s">
        <v>398</v>
      </c>
      <c r="L170" s="16" t="s">
        <v>399</v>
      </c>
      <c r="M170" s="221"/>
      <c r="N170" s="222"/>
      <c r="O170" s="222"/>
      <c r="P170" s="223"/>
    </row>
    <row r="171" spans="1:16" ht="12" hidden="1" customHeight="1" x14ac:dyDescent="0.2">
      <c r="A171" s="22"/>
      <c r="B171" s="16"/>
      <c r="C171" s="16"/>
      <c r="D171" s="16"/>
      <c r="E171" s="23"/>
      <c r="F171" s="85"/>
      <c r="G171" s="86"/>
      <c r="H171" s="86"/>
      <c r="I171" s="86"/>
      <c r="J171" s="31" t="s">
        <v>394</v>
      </c>
      <c r="K171" s="35" t="s">
        <v>400</v>
      </c>
      <c r="L171" s="16" t="s">
        <v>401</v>
      </c>
      <c r="M171" s="221"/>
      <c r="N171" s="222"/>
      <c r="O171" s="222"/>
      <c r="P171" s="223"/>
    </row>
    <row r="172" spans="1:16" ht="12" hidden="1" customHeight="1" x14ac:dyDescent="0.2">
      <c r="A172" s="22"/>
      <c r="B172" s="16"/>
      <c r="C172" s="16"/>
      <c r="D172" s="16"/>
      <c r="E172" s="23"/>
      <c r="F172" s="85"/>
      <c r="G172" s="86"/>
      <c r="H172" s="86"/>
      <c r="I172" s="86"/>
      <c r="J172" s="17" t="s">
        <v>394</v>
      </c>
      <c r="K172" s="33" t="s">
        <v>402</v>
      </c>
      <c r="L172" s="34" t="s">
        <v>403</v>
      </c>
      <c r="M172" s="221"/>
      <c r="N172" s="222"/>
      <c r="O172" s="222"/>
      <c r="P172" s="223"/>
    </row>
    <row r="173" spans="1:16" ht="12" hidden="1" customHeight="1" x14ac:dyDescent="0.2">
      <c r="A173" s="22"/>
      <c r="B173" s="16"/>
      <c r="C173" s="16"/>
      <c r="D173" s="16"/>
      <c r="E173" s="23"/>
      <c r="F173" s="85"/>
      <c r="G173" s="86"/>
      <c r="H173" s="86"/>
      <c r="I173" s="86"/>
      <c r="J173" s="31" t="s">
        <v>394</v>
      </c>
      <c r="K173" s="35" t="s">
        <v>404</v>
      </c>
      <c r="L173" s="32" t="s">
        <v>405</v>
      </c>
      <c r="M173" s="221"/>
      <c r="N173" s="222"/>
      <c r="O173" s="222"/>
      <c r="P173" s="223"/>
    </row>
    <row r="174" spans="1:16" ht="12" hidden="1" customHeight="1" x14ac:dyDescent="0.2">
      <c r="A174" s="22"/>
      <c r="B174" s="16"/>
      <c r="C174" s="16"/>
      <c r="D174" s="16"/>
      <c r="E174" s="23"/>
      <c r="F174" s="85"/>
      <c r="G174" s="86"/>
      <c r="H174" s="86"/>
      <c r="I174" s="86"/>
      <c r="J174" s="31" t="s">
        <v>394</v>
      </c>
      <c r="K174" s="35" t="s">
        <v>406</v>
      </c>
      <c r="L174" s="32" t="s">
        <v>407</v>
      </c>
      <c r="M174" s="221"/>
      <c r="N174" s="222"/>
      <c r="O174" s="222"/>
      <c r="P174" s="223"/>
    </row>
    <row r="175" spans="1:16" ht="12" hidden="1" customHeight="1" x14ac:dyDescent="0.2">
      <c r="A175" s="22"/>
      <c r="B175" s="16"/>
      <c r="C175" s="16"/>
      <c r="D175" s="16"/>
      <c r="E175" s="23"/>
      <c r="F175" s="85"/>
      <c r="G175" s="86"/>
      <c r="H175" s="86"/>
      <c r="I175" s="86"/>
      <c r="J175" s="31" t="s">
        <v>394</v>
      </c>
      <c r="K175" s="35" t="s">
        <v>408</v>
      </c>
      <c r="L175" s="32" t="s">
        <v>409</v>
      </c>
      <c r="M175" s="221"/>
      <c r="N175" s="222"/>
      <c r="O175" s="222"/>
      <c r="P175" s="223"/>
    </row>
    <row r="176" spans="1:16" ht="12" hidden="1" customHeight="1" x14ac:dyDescent="0.2">
      <c r="A176" s="22"/>
      <c r="B176" s="16"/>
      <c r="C176" s="16"/>
      <c r="D176" s="16"/>
      <c r="E176" s="23"/>
      <c r="F176" s="85"/>
      <c r="G176" s="86"/>
      <c r="H176" s="86"/>
      <c r="I176" s="86"/>
      <c r="J176" s="31" t="s">
        <v>394</v>
      </c>
      <c r="K176" s="35" t="s">
        <v>410</v>
      </c>
      <c r="L176" s="32" t="s">
        <v>411</v>
      </c>
      <c r="M176" s="221"/>
      <c r="N176" s="222"/>
      <c r="O176" s="222"/>
      <c r="P176" s="223"/>
    </row>
    <row r="177" spans="1:16" ht="12" hidden="1" customHeight="1" x14ac:dyDescent="0.2">
      <c r="A177" s="22"/>
      <c r="B177" s="16"/>
      <c r="C177" s="16"/>
      <c r="D177" s="16"/>
      <c r="E177" s="23"/>
      <c r="F177" s="85"/>
      <c r="G177" s="86"/>
      <c r="H177" s="86"/>
      <c r="I177" s="86"/>
      <c r="J177" s="31" t="s">
        <v>394</v>
      </c>
      <c r="K177" s="35" t="s">
        <v>412</v>
      </c>
      <c r="L177" s="32" t="s">
        <v>413</v>
      </c>
      <c r="M177" s="221"/>
      <c r="N177" s="222"/>
      <c r="O177" s="222"/>
      <c r="P177" s="223"/>
    </row>
    <row r="178" spans="1:16" ht="12" hidden="1" customHeight="1" x14ac:dyDescent="0.2">
      <c r="A178" s="22"/>
      <c r="B178" s="16"/>
      <c r="C178" s="16"/>
      <c r="D178" s="16"/>
      <c r="E178" s="23"/>
      <c r="F178" s="85"/>
      <c r="G178" s="86"/>
      <c r="H178" s="86"/>
      <c r="I178" s="86"/>
      <c r="J178" s="31" t="s">
        <v>394</v>
      </c>
      <c r="K178" s="35" t="s">
        <v>414</v>
      </c>
      <c r="L178" s="32" t="s">
        <v>415</v>
      </c>
      <c r="M178" s="221"/>
      <c r="N178" s="222"/>
      <c r="O178" s="222"/>
      <c r="P178" s="223"/>
    </row>
    <row r="179" spans="1:16" ht="12" hidden="1" customHeight="1" x14ac:dyDescent="0.2">
      <c r="A179" s="22"/>
      <c r="B179" s="16"/>
      <c r="C179" s="16"/>
      <c r="D179" s="16"/>
      <c r="E179" s="23"/>
      <c r="F179" s="85"/>
      <c r="G179" s="86"/>
      <c r="H179" s="86"/>
      <c r="I179" s="86"/>
      <c r="J179" s="31" t="s">
        <v>394</v>
      </c>
      <c r="K179" s="35" t="s">
        <v>416</v>
      </c>
      <c r="L179" s="32" t="s">
        <v>417</v>
      </c>
      <c r="M179" s="221"/>
      <c r="N179" s="222"/>
      <c r="O179" s="222"/>
      <c r="P179" s="223"/>
    </row>
    <row r="180" spans="1:16" ht="12" hidden="1" customHeight="1" x14ac:dyDescent="0.2">
      <c r="A180" s="22"/>
      <c r="B180" s="16"/>
      <c r="C180" s="16"/>
      <c r="D180" s="16"/>
      <c r="E180" s="23"/>
      <c r="F180" s="85"/>
      <c r="G180" s="86"/>
      <c r="H180" s="86"/>
      <c r="I180" s="86"/>
      <c r="J180" s="31" t="s">
        <v>394</v>
      </c>
      <c r="K180" s="33" t="s">
        <v>418</v>
      </c>
      <c r="L180" s="53" t="s">
        <v>419</v>
      </c>
      <c r="M180" s="221"/>
      <c r="N180" s="222"/>
      <c r="O180" s="222"/>
      <c r="P180" s="223"/>
    </row>
    <row r="181" spans="1:16" ht="12" hidden="1" customHeight="1" x14ac:dyDescent="0.2">
      <c r="A181" s="22"/>
      <c r="B181" s="16"/>
      <c r="C181" s="16"/>
      <c r="D181" s="16"/>
      <c r="E181" s="23"/>
      <c r="F181" s="85"/>
      <c r="G181" s="86"/>
      <c r="H181" s="86"/>
      <c r="I181" s="86"/>
      <c r="J181" s="31" t="s">
        <v>394</v>
      </c>
      <c r="K181" s="35" t="s">
        <v>420</v>
      </c>
      <c r="L181" s="32" t="s">
        <v>421</v>
      </c>
      <c r="M181" s="221"/>
      <c r="N181" s="222"/>
      <c r="O181" s="222"/>
      <c r="P181" s="223"/>
    </row>
    <row r="182" spans="1:16" ht="11.25" hidden="1" x14ac:dyDescent="0.2">
      <c r="A182" s="22"/>
      <c r="B182" s="16"/>
      <c r="C182" s="16"/>
      <c r="D182" s="16"/>
      <c r="E182" s="23"/>
      <c r="F182" s="85"/>
      <c r="G182" s="86"/>
      <c r="H182" s="86"/>
      <c r="I182" s="86"/>
      <c r="J182" s="31" t="s">
        <v>394</v>
      </c>
      <c r="K182" s="35" t="s">
        <v>422</v>
      </c>
      <c r="L182" s="32" t="s">
        <v>423</v>
      </c>
      <c r="M182" s="221"/>
      <c r="N182" s="222"/>
      <c r="O182" s="222"/>
      <c r="P182" s="223"/>
    </row>
    <row r="183" spans="1:16" ht="11.25" hidden="1" x14ac:dyDescent="0.2">
      <c r="A183" s="22"/>
      <c r="B183" s="16"/>
      <c r="C183" s="16"/>
      <c r="D183" s="16"/>
      <c r="E183" s="23"/>
      <c r="F183" s="85"/>
      <c r="G183" s="86"/>
      <c r="H183" s="86"/>
      <c r="I183" s="86"/>
      <c r="J183" s="31" t="s">
        <v>394</v>
      </c>
      <c r="K183" s="33" t="s">
        <v>376</v>
      </c>
      <c r="L183" s="53" t="s">
        <v>377</v>
      </c>
      <c r="M183" s="221"/>
      <c r="N183" s="222"/>
      <c r="O183" s="222"/>
      <c r="P183" s="223"/>
    </row>
    <row r="184" spans="1:16" ht="11.25" hidden="1" x14ac:dyDescent="0.2">
      <c r="A184" s="54"/>
      <c r="B184" s="51"/>
      <c r="C184" s="51"/>
      <c r="D184" s="51"/>
      <c r="E184" s="55"/>
      <c r="F184" s="85"/>
      <c r="G184" s="86"/>
      <c r="H184" s="86"/>
      <c r="I184" s="86"/>
      <c r="J184" s="31" t="s">
        <v>394</v>
      </c>
      <c r="K184" s="35" t="s">
        <v>424</v>
      </c>
      <c r="L184" s="32" t="s">
        <v>425</v>
      </c>
      <c r="M184" s="221"/>
      <c r="N184" s="222"/>
      <c r="O184" s="222"/>
      <c r="P184" s="223"/>
    </row>
    <row r="185" spans="1:16" ht="14.25" hidden="1" customHeight="1" x14ac:dyDescent="0.2">
      <c r="A185" s="22"/>
      <c r="B185" s="16"/>
      <c r="C185" s="16"/>
      <c r="D185" s="16"/>
      <c r="E185" s="23"/>
      <c r="F185" s="85"/>
      <c r="G185" s="86"/>
      <c r="H185" s="86"/>
      <c r="I185" s="86"/>
      <c r="J185" s="31"/>
      <c r="K185" s="35"/>
      <c r="L185" s="32"/>
      <c r="M185" s="221"/>
      <c r="N185" s="222"/>
      <c r="O185" s="222"/>
      <c r="P185" s="223"/>
    </row>
    <row r="186" spans="1:16" ht="12" hidden="1" customHeight="1" x14ac:dyDescent="0.2">
      <c r="A186" s="22"/>
      <c r="B186" s="16"/>
      <c r="C186" s="35" t="s">
        <v>426</v>
      </c>
      <c r="D186" s="16" t="s">
        <v>427</v>
      </c>
      <c r="E186" s="23"/>
      <c r="F186" s="85">
        <f>SUM(G186:I186)</f>
        <v>0</v>
      </c>
      <c r="G186" s="86"/>
      <c r="H186" s="86">
        <f>+O187+O190+O192</f>
        <v>0</v>
      </c>
      <c r="I186" s="86">
        <f>+P187+P190+P192</f>
        <v>0</v>
      </c>
      <c r="J186" s="31" t="s">
        <v>175</v>
      </c>
      <c r="K186" s="35"/>
      <c r="L186" s="16"/>
      <c r="M186" s="221"/>
      <c r="N186" s="222"/>
      <c r="O186" s="222"/>
      <c r="P186" s="223"/>
    </row>
    <row r="187" spans="1:16" ht="12" hidden="1" customHeight="1" x14ac:dyDescent="0.2">
      <c r="A187" s="22"/>
      <c r="B187" s="16"/>
      <c r="C187" s="16"/>
      <c r="D187" s="16"/>
      <c r="E187" s="23"/>
      <c r="F187" s="85"/>
      <c r="G187" s="86"/>
      <c r="H187" s="86"/>
      <c r="I187" s="86"/>
      <c r="J187" s="17" t="s">
        <v>428</v>
      </c>
      <c r="K187" s="17" t="s">
        <v>396</v>
      </c>
      <c r="L187" s="34" t="s">
        <v>397</v>
      </c>
      <c r="M187" s="221"/>
      <c r="N187" s="222"/>
      <c r="O187" s="222"/>
      <c r="P187" s="223"/>
    </row>
    <row r="188" spans="1:16" ht="12" hidden="1" customHeight="1" x14ac:dyDescent="0.2">
      <c r="A188" s="22"/>
      <c r="B188" s="16"/>
      <c r="C188" s="16"/>
      <c r="D188" s="16"/>
      <c r="E188" s="23"/>
      <c r="F188" s="85"/>
      <c r="G188" s="86"/>
      <c r="H188" s="86"/>
      <c r="I188" s="86"/>
      <c r="J188" s="31" t="s">
        <v>428</v>
      </c>
      <c r="K188" s="35" t="s">
        <v>429</v>
      </c>
      <c r="L188" s="16" t="s">
        <v>430</v>
      </c>
      <c r="M188" s="221"/>
      <c r="N188" s="222"/>
      <c r="O188" s="222"/>
      <c r="P188" s="223"/>
    </row>
    <row r="189" spans="1:16" ht="12" hidden="1" customHeight="1" x14ac:dyDescent="0.2">
      <c r="A189" s="22"/>
      <c r="B189" s="16"/>
      <c r="C189" s="16"/>
      <c r="D189" s="16" t="s">
        <v>175</v>
      </c>
      <c r="E189" s="23"/>
      <c r="F189" s="85"/>
      <c r="G189" s="98"/>
      <c r="H189" s="86"/>
      <c r="I189" s="86"/>
      <c r="J189" s="31" t="s">
        <v>428</v>
      </c>
      <c r="K189" s="35" t="s">
        <v>431</v>
      </c>
      <c r="L189" s="16" t="s">
        <v>432</v>
      </c>
      <c r="M189" s="221"/>
      <c r="N189" s="237"/>
      <c r="O189" s="222"/>
      <c r="P189" s="223"/>
    </row>
    <row r="190" spans="1:16" ht="12" hidden="1" customHeight="1" x14ac:dyDescent="0.2">
      <c r="A190" s="22"/>
      <c r="B190" s="16"/>
      <c r="C190" s="16"/>
      <c r="D190" s="16"/>
      <c r="E190" s="23"/>
      <c r="F190" s="85"/>
      <c r="G190" s="86"/>
      <c r="H190" s="86"/>
      <c r="I190" s="86"/>
      <c r="J190" s="17" t="s">
        <v>428</v>
      </c>
      <c r="K190" s="33" t="s">
        <v>402</v>
      </c>
      <c r="L190" s="34" t="s">
        <v>403</v>
      </c>
      <c r="M190" s="221"/>
      <c r="N190" s="222"/>
      <c r="O190" s="222"/>
      <c r="P190" s="223"/>
    </row>
    <row r="191" spans="1:16" ht="12" hidden="1" customHeight="1" x14ac:dyDescent="0.2">
      <c r="A191" s="22"/>
      <c r="B191" s="16"/>
      <c r="C191" s="16"/>
      <c r="D191" s="16"/>
      <c r="E191" s="23"/>
      <c r="F191" s="85"/>
      <c r="G191" s="86"/>
      <c r="H191" s="86"/>
      <c r="I191" s="86"/>
      <c r="J191" s="31" t="s">
        <v>428</v>
      </c>
      <c r="K191" s="35" t="s">
        <v>433</v>
      </c>
      <c r="L191" s="32" t="s">
        <v>434</v>
      </c>
      <c r="M191" s="221"/>
      <c r="N191" s="222"/>
      <c r="O191" s="222"/>
      <c r="P191" s="223"/>
    </row>
    <row r="192" spans="1:16" ht="12" hidden="1" customHeight="1" x14ac:dyDescent="0.2">
      <c r="A192" s="22"/>
      <c r="B192" s="16"/>
      <c r="C192" s="16"/>
      <c r="D192" s="16"/>
      <c r="E192" s="23" t="s">
        <v>175</v>
      </c>
      <c r="F192" s="85"/>
      <c r="G192" s="86"/>
      <c r="H192" s="86"/>
      <c r="I192" s="86"/>
      <c r="J192" s="17" t="s">
        <v>428</v>
      </c>
      <c r="K192" s="33" t="s">
        <v>418</v>
      </c>
      <c r="L192" s="53" t="s">
        <v>419</v>
      </c>
      <c r="M192" s="221"/>
      <c r="N192" s="222"/>
      <c r="O192" s="222"/>
      <c r="P192" s="223"/>
    </row>
    <row r="193" spans="1:17" ht="12" hidden="1" customHeight="1" x14ac:dyDescent="0.2">
      <c r="A193" s="22"/>
      <c r="B193" s="16"/>
      <c r="C193" s="16"/>
      <c r="D193" s="16"/>
      <c r="E193" s="23"/>
      <c r="F193" s="85"/>
      <c r="G193" s="86"/>
      <c r="H193" s="86"/>
      <c r="I193" s="86"/>
      <c r="J193" s="31" t="s">
        <v>428</v>
      </c>
      <c r="K193" s="35" t="s">
        <v>420</v>
      </c>
      <c r="L193" s="32" t="s">
        <v>421</v>
      </c>
      <c r="M193" s="221"/>
      <c r="N193" s="222"/>
      <c r="O193" s="222"/>
      <c r="P193" s="223"/>
    </row>
    <row r="194" spans="1:17" ht="12" hidden="1" customHeight="1" x14ac:dyDescent="0.2">
      <c r="A194" s="22"/>
      <c r="B194" s="16"/>
      <c r="C194" s="16"/>
      <c r="D194" s="16"/>
      <c r="E194" s="23"/>
      <c r="F194" s="85"/>
      <c r="G194" s="86"/>
      <c r="H194" s="86"/>
      <c r="I194" s="86"/>
      <c r="J194" s="31" t="s">
        <v>428</v>
      </c>
      <c r="K194" s="35" t="s">
        <v>422</v>
      </c>
      <c r="L194" s="32" t="s">
        <v>423</v>
      </c>
      <c r="M194" s="221"/>
      <c r="N194" s="222"/>
      <c r="O194" s="222"/>
      <c r="P194" s="223"/>
    </row>
    <row r="195" spans="1:17" ht="12" customHeight="1" x14ac:dyDescent="0.2">
      <c r="A195" s="22"/>
      <c r="B195" s="16"/>
      <c r="C195" s="16"/>
      <c r="D195" s="16"/>
      <c r="E195" s="23"/>
      <c r="F195" s="85"/>
      <c r="G195" s="86"/>
      <c r="H195" s="86"/>
      <c r="I195" s="86"/>
      <c r="J195" s="31"/>
      <c r="K195" s="32"/>
      <c r="L195" s="16"/>
      <c r="M195" s="221"/>
      <c r="N195" s="222"/>
      <c r="O195" s="222"/>
      <c r="P195" s="223"/>
    </row>
    <row r="196" spans="1:17" s="25" customFormat="1" ht="12" customHeight="1" x14ac:dyDescent="0.2">
      <c r="A196" s="56"/>
      <c r="B196" s="17" t="s">
        <v>435</v>
      </c>
      <c r="C196" s="29" t="s">
        <v>5</v>
      </c>
      <c r="D196" s="29"/>
      <c r="E196" s="57"/>
      <c r="F196" s="102">
        <f>SUM(G196:I196)</f>
        <v>86699093.539999992</v>
      </c>
      <c r="G196" s="103">
        <f>+G198+G213+G236</f>
        <v>68793647.699999988</v>
      </c>
      <c r="H196" s="104">
        <f>+H198+H213+H236</f>
        <v>17905445.84</v>
      </c>
      <c r="I196" s="104">
        <f>+I214+I198</f>
        <v>0</v>
      </c>
      <c r="J196" s="17" t="s">
        <v>435</v>
      </c>
      <c r="K196" s="17">
        <v>6</v>
      </c>
      <c r="L196" s="53" t="s">
        <v>5</v>
      </c>
      <c r="M196" s="243">
        <f>+M198+M214+M219+M225+M230+M232+M236</f>
        <v>86699093.539999992</v>
      </c>
      <c r="N196" s="244">
        <f>+N198+N214+N219+N225+N230+N232+N236</f>
        <v>68793647.699999988</v>
      </c>
      <c r="O196" s="244">
        <f>+O198+O214+O219+O225+O230+O232+O236</f>
        <v>17905445.84</v>
      </c>
      <c r="P196" s="245">
        <f>+P198+P214+P219+P225+P230+P232+P236</f>
        <v>0</v>
      </c>
      <c r="Q196" s="177">
        <f>+F196-M196</f>
        <v>0</v>
      </c>
    </row>
    <row r="197" spans="1:17" ht="12" customHeight="1" x14ac:dyDescent="0.2">
      <c r="A197" s="22"/>
      <c r="B197" s="16"/>
      <c r="C197" s="16"/>
      <c r="D197" s="16"/>
      <c r="E197" s="23"/>
      <c r="F197" s="85"/>
      <c r="G197" s="86"/>
      <c r="H197" s="86"/>
      <c r="I197" s="86"/>
      <c r="J197" s="31"/>
      <c r="K197" s="31"/>
      <c r="L197" s="16"/>
      <c r="M197" s="221"/>
      <c r="N197" s="222"/>
      <c r="O197" s="222"/>
      <c r="P197" s="223"/>
      <c r="Q197" s="176">
        <f>+F363-M363</f>
        <v>0</v>
      </c>
    </row>
    <row r="198" spans="1:17" ht="12" customHeight="1" x14ac:dyDescent="0.2">
      <c r="A198" s="22"/>
      <c r="B198" s="16"/>
      <c r="C198" s="35" t="s">
        <v>436</v>
      </c>
      <c r="D198" s="16" t="s">
        <v>437</v>
      </c>
      <c r="E198" s="23"/>
      <c r="F198" s="85">
        <f>SUM(G198:I198)</f>
        <v>51111210.43</v>
      </c>
      <c r="G198" s="105">
        <f>+N198+N208</f>
        <v>45581049.299999997</v>
      </c>
      <c r="H198" s="105">
        <f>+O198+O208</f>
        <v>5530161.1299999999</v>
      </c>
      <c r="I198" s="105">
        <f>+P198+P208</f>
        <v>0</v>
      </c>
      <c r="J198" s="33" t="s">
        <v>436</v>
      </c>
      <c r="K198" s="33" t="s">
        <v>122</v>
      </c>
      <c r="L198" s="34" t="s">
        <v>438</v>
      </c>
      <c r="M198" s="242">
        <f>SUM(N198:P198)</f>
        <v>51111210.43</v>
      </c>
      <c r="N198" s="246">
        <f>SUM(N199:N207)</f>
        <v>45581049.299999997</v>
      </c>
      <c r="O198" s="246">
        <f t="shared" ref="O198:P198" si="44">SUM(O199:O207)</f>
        <v>5530161.1299999999</v>
      </c>
      <c r="P198" s="247">
        <f t="shared" si="44"/>
        <v>0</v>
      </c>
    </row>
    <row r="199" spans="1:17" ht="12" customHeight="1" x14ac:dyDescent="0.2">
      <c r="A199" s="22"/>
      <c r="B199" s="16"/>
      <c r="C199" s="35"/>
      <c r="D199" s="16"/>
      <c r="E199" s="23"/>
      <c r="F199" s="85"/>
      <c r="G199" s="92"/>
      <c r="H199" s="92"/>
      <c r="I199" s="92"/>
      <c r="J199" s="35" t="s">
        <v>436</v>
      </c>
      <c r="K199" s="35" t="s">
        <v>439</v>
      </c>
      <c r="L199" s="32" t="s">
        <v>440</v>
      </c>
      <c r="M199" s="221">
        <f>SUM(N199:P199)</f>
        <v>5530161.1299999999</v>
      </c>
      <c r="N199" s="222">
        <v>0</v>
      </c>
      <c r="O199" s="222">
        <v>5530161.1299999999</v>
      </c>
      <c r="P199" s="223"/>
    </row>
    <row r="200" spans="1:17" ht="12" hidden="1" customHeight="1" x14ac:dyDescent="0.2">
      <c r="A200" s="22"/>
      <c r="B200" s="16"/>
      <c r="C200" s="35"/>
      <c r="D200" s="16"/>
      <c r="E200" s="23"/>
      <c r="F200" s="85"/>
      <c r="G200" s="92"/>
      <c r="H200" s="92"/>
      <c r="I200" s="92"/>
      <c r="J200" s="35" t="s">
        <v>436</v>
      </c>
      <c r="K200" s="35" t="s">
        <v>123</v>
      </c>
      <c r="L200" s="32" t="s">
        <v>441</v>
      </c>
      <c r="M200" s="221">
        <f t="shared" ref="M200:M207" si="45">SUM(N200:P200)</f>
        <v>0</v>
      </c>
      <c r="N200" s="222">
        <v>0</v>
      </c>
      <c r="O200" s="222">
        <v>0</v>
      </c>
      <c r="P200" s="223"/>
    </row>
    <row r="201" spans="1:17" s="43" customFormat="1" ht="24" customHeight="1" x14ac:dyDescent="0.25">
      <c r="A201" s="38"/>
      <c r="B201" s="39"/>
      <c r="C201" s="58"/>
      <c r="D201" s="39"/>
      <c r="E201" s="59"/>
      <c r="F201" s="95"/>
      <c r="G201" s="96"/>
      <c r="H201" s="96"/>
      <c r="I201" s="96"/>
      <c r="J201" s="58" t="s">
        <v>436</v>
      </c>
      <c r="K201" s="58" t="s">
        <v>124</v>
      </c>
      <c r="L201" s="248" t="s">
        <v>442</v>
      </c>
      <c r="M201" s="234">
        <f t="shared" si="45"/>
        <v>21096735</v>
      </c>
      <c r="N201" s="235">
        <v>21096735</v>
      </c>
      <c r="O201" s="235">
        <v>0</v>
      </c>
      <c r="P201" s="236"/>
      <c r="Q201" s="233"/>
    </row>
    <row r="202" spans="1:17" ht="12" hidden="1" customHeight="1" x14ac:dyDescent="0.2">
      <c r="A202" s="22"/>
      <c r="B202" s="16"/>
      <c r="C202" s="35"/>
      <c r="D202" s="16"/>
      <c r="E202" s="23"/>
      <c r="F202" s="85"/>
      <c r="G202" s="92"/>
      <c r="H202" s="92"/>
      <c r="I202" s="92"/>
      <c r="J202" s="35" t="s">
        <v>436</v>
      </c>
      <c r="K202" s="35" t="s">
        <v>443</v>
      </c>
      <c r="L202" s="32" t="s">
        <v>444</v>
      </c>
      <c r="M202" s="221">
        <f t="shared" si="45"/>
        <v>0</v>
      </c>
      <c r="N202" s="222"/>
      <c r="O202" s="222"/>
      <c r="P202" s="223"/>
    </row>
    <row r="203" spans="1:17" ht="12" hidden="1" customHeight="1" x14ac:dyDescent="0.2">
      <c r="A203" s="22"/>
      <c r="B203" s="16"/>
      <c r="C203" s="35"/>
      <c r="D203" s="16"/>
      <c r="E203" s="23"/>
      <c r="F203" s="85"/>
      <c r="G203" s="92"/>
      <c r="H203" s="92"/>
      <c r="I203" s="92"/>
      <c r="J203" s="35" t="s">
        <v>436</v>
      </c>
      <c r="K203" s="35" t="s">
        <v>445</v>
      </c>
      <c r="L203" s="32" t="s">
        <v>446</v>
      </c>
      <c r="M203" s="221">
        <f t="shared" si="45"/>
        <v>0</v>
      </c>
      <c r="N203" s="222"/>
      <c r="O203" s="222"/>
      <c r="P203" s="223"/>
    </row>
    <row r="204" spans="1:17" ht="12" hidden="1" customHeight="1" x14ac:dyDescent="0.2">
      <c r="A204" s="22"/>
      <c r="B204" s="16"/>
      <c r="C204" s="35"/>
      <c r="D204" s="16"/>
      <c r="E204" s="23"/>
      <c r="F204" s="85"/>
      <c r="G204" s="92"/>
      <c r="H204" s="92"/>
      <c r="I204" s="92"/>
      <c r="J204" s="35" t="s">
        <v>436</v>
      </c>
      <c r="K204" s="35" t="s">
        <v>447</v>
      </c>
      <c r="L204" s="32" t="s">
        <v>448</v>
      </c>
      <c r="M204" s="221">
        <f t="shared" si="45"/>
        <v>0</v>
      </c>
      <c r="N204" s="222"/>
      <c r="O204" s="222"/>
      <c r="P204" s="223"/>
    </row>
    <row r="205" spans="1:17" ht="12" hidden="1" customHeight="1" x14ac:dyDescent="0.2">
      <c r="A205" s="22"/>
      <c r="B205" s="16"/>
      <c r="C205" s="35"/>
      <c r="D205" s="16"/>
      <c r="E205" s="23"/>
      <c r="F205" s="85"/>
      <c r="G205" s="92"/>
      <c r="H205" s="92"/>
      <c r="I205" s="92"/>
      <c r="J205" s="35" t="s">
        <v>436</v>
      </c>
      <c r="K205" s="35" t="s">
        <v>449</v>
      </c>
      <c r="L205" s="32" t="s">
        <v>450</v>
      </c>
      <c r="M205" s="221">
        <f t="shared" si="45"/>
        <v>0</v>
      </c>
      <c r="N205" s="222"/>
      <c r="O205" s="222"/>
      <c r="P205" s="223"/>
    </row>
    <row r="206" spans="1:17" ht="12" customHeight="1" x14ac:dyDescent="0.2">
      <c r="A206" s="22"/>
      <c r="B206" s="16"/>
      <c r="C206" s="35"/>
      <c r="D206" s="16"/>
      <c r="E206" s="23"/>
      <c r="F206" s="85"/>
      <c r="G206" s="92"/>
      <c r="H206" s="92"/>
      <c r="I206" s="92"/>
      <c r="J206" s="35" t="s">
        <v>436</v>
      </c>
      <c r="K206" s="35" t="s">
        <v>126</v>
      </c>
      <c r="L206" s="32" t="s">
        <v>451</v>
      </c>
      <c r="M206" s="221">
        <f t="shared" si="45"/>
        <v>24484314.300000001</v>
      </c>
      <c r="N206" s="222">
        <v>24484314.300000001</v>
      </c>
      <c r="O206" s="222">
        <v>0</v>
      </c>
      <c r="P206" s="223"/>
    </row>
    <row r="207" spans="1:17" ht="16.5" hidden="1" customHeight="1" x14ac:dyDescent="0.2">
      <c r="A207" s="22"/>
      <c r="B207" s="16"/>
      <c r="C207" s="35"/>
      <c r="D207" s="16"/>
      <c r="E207" s="23"/>
      <c r="F207" s="85"/>
      <c r="G207" s="92"/>
      <c r="H207" s="92"/>
      <c r="I207" s="92"/>
      <c r="J207" s="35" t="s">
        <v>436</v>
      </c>
      <c r="K207" s="35" t="s">
        <v>452</v>
      </c>
      <c r="L207" s="32" t="s">
        <v>453</v>
      </c>
      <c r="M207" s="221">
        <f t="shared" si="45"/>
        <v>0</v>
      </c>
      <c r="N207" s="222"/>
      <c r="O207" s="222"/>
      <c r="P207" s="223"/>
    </row>
    <row r="208" spans="1:17" ht="12" hidden="1" customHeight="1" x14ac:dyDescent="0.2">
      <c r="A208" s="22"/>
      <c r="B208" s="16"/>
      <c r="C208" s="35"/>
      <c r="D208" s="16"/>
      <c r="E208" s="23"/>
      <c r="F208" s="90"/>
      <c r="G208" s="106"/>
      <c r="H208" s="106"/>
      <c r="I208" s="106"/>
      <c r="J208" s="33" t="s">
        <v>436</v>
      </c>
      <c r="K208" s="33" t="s">
        <v>454</v>
      </c>
      <c r="L208" s="34" t="s">
        <v>94</v>
      </c>
      <c r="M208" s="242">
        <f>SUM(N208:O208)</f>
        <v>0</v>
      </c>
      <c r="N208" s="246">
        <f>SUM(N209:N213)</f>
        <v>0</v>
      </c>
      <c r="O208" s="246">
        <f>SUM(O209:O212)</f>
        <v>0</v>
      </c>
      <c r="P208" s="247"/>
    </row>
    <row r="209" spans="1:16" ht="12" hidden="1" customHeight="1" x14ac:dyDescent="0.2">
      <c r="A209" s="22"/>
      <c r="B209" s="16"/>
      <c r="C209" s="35"/>
      <c r="D209" s="16"/>
      <c r="E209" s="23"/>
      <c r="F209" s="107"/>
      <c r="G209" s="108"/>
      <c r="H209" s="108"/>
      <c r="I209" s="86"/>
      <c r="J209" s="35" t="s">
        <v>436</v>
      </c>
      <c r="K209" s="35" t="s">
        <v>455</v>
      </c>
      <c r="L209" s="16" t="s">
        <v>456</v>
      </c>
      <c r="M209" s="249"/>
      <c r="N209" s="250"/>
      <c r="O209" s="250"/>
      <c r="P209" s="223"/>
    </row>
    <row r="210" spans="1:16" ht="12" hidden="1" customHeight="1" x14ac:dyDescent="0.2">
      <c r="A210" s="22"/>
      <c r="B210" s="16"/>
      <c r="C210" s="35"/>
      <c r="D210" s="16"/>
      <c r="E210" s="23"/>
      <c r="F210" s="85"/>
      <c r="G210" s="86"/>
      <c r="H210" s="86"/>
      <c r="I210" s="86"/>
      <c r="J210" s="35" t="s">
        <v>436</v>
      </c>
      <c r="K210" s="35" t="s">
        <v>457</v>
      </c>
      <c r="L210" s="16" t="s">
        <v>458</v>
      </c>
      <c r="M210" s="221"/>
      <c r="N210" s="222"/>
      <c r="O210" s="222"/>
      <c r="P210" s="223"/>
    </row>
    <row r="211" spans="1:16" ht="12" hidden="1" customHeight="1" x14ac:dyDescent="0.2">
      <c r="A211" s="22"/>
      <c r="B211" s="16"/>
      <c r="C211" s="16"/>
      <c r="D211" s="16"/>
      <c r="E211" s="23"/>
      <c r="F211" s="85"/>
      <c r="G211" s="86"/>
      <c r="H211" s="86"/>
      <c r="I211" s="86"/>
      <c r="J211" s="35" t="s">
        <v>436</v>
      </c>
      <c r="K211" s="35" t="s">
        <v>459</v>
      </c>
      <c r="L211" s="16" t="s">
        <v>460</v>
      </c>
      <c r="M211" s="221"/>
      <c r="N211" s="222"/>
      <c r="O211" s="222"/>
      <c r="P211" s="223"/>
    </row>
    <row r="212" spans="1:16" ht="12" hidden="1" customHeight="1" x14ac:dyDescent="0.2">
      <c r="A212" s="22"/>
      <c r="B212" s="16"/>
      <c r="C212" s="16"/>
      <c r="D212" s="16"/>
      <c r="E212" s="23"/>
      <c r="F212" s="85"/>
      <c r="G212" s="92"/>
      <c r="H212" s="92"/>
      <c r="I212" s="92"/>
      <c r="J212" s="35" t="s">
        <v>436</v>
      </c>
      <c r="K212" s="35" t="s">
        <v>95</v>
      </c>
      <c r="L212" s="16" t="s">
        <v>96</v>
      </c>
      <c r="M212" s="221"/>
      <c r="N212" s="222"/>
      <c r="O212" s="222"/>
      <c r="P212" s="223"/>
    </row>
    <row r="213" spans="1:16" ht="12" customHeight="1" x14ac:dyDescent="0.2">
      <c r="A213" s="22"/>
      <c r="B213" s="16"/>
      <c r="C213" s="35" t="s">
        <v>461</v>
      </c>
      <c r="D213" s="16" t="s">
        <v>462</v>
      </c>
      <c r="E213" s="23"/>
      <c r="F213" s="85">
        <f>SUM(G213:H213)</f>
        <v>25787883.109999999</v>
      </c>
      <c r="G213" s="86">
        <f>+N214+N219+N225+N230+N232</f>
        <v>23212598.399999999</v>
      </c>
      <c r="H213" s="86">
        <f>+O214+O219+O225+O230+O232</f>
        <v>2575284.71</v>
      </c>
      <c r="I213" s="86"/>
      <c r="J213" s="35"/>
      <c r="K213" s="35"/>
      <c r="L213" s="16"/>
      <c r="M213" s="221"/>
      <c r="N213" s="222"/>
      <c r="O213" s="222"/>
      <c r="P213" s="223"/>
    </row>
    <row r="214" spans="1:16" ht="12" hidden="1" customHeight="1" x14ac:dyDescent="0.2">
      <c r="A214" s="22"/>
      <c r="B214" s="16"/>
      <c r="C214" s="35"/>
      <c r="D214" s="16"/>
      <c r="E214" s="23"/>
      <c r="F214" s="85"/>
      <c r="G214" s="92"/>
      <c r="H214" s="92"/>
      <c r="I214" s="92">
        <f>+P214+P219+P225+P230+P232</f>
        <v>0</v>
      </c>
      <c r="J214" s="17" t="s">
        <v>461</v>
      </c>
      <c r="K214" s="17" t="s">
        <v>463</v>
      </c>
      <c r="L214" s="34" t="s">
        <v>128</v>
      </c>
      <c r="M214" s="242">
        <f>SUM(N214:P214)</f>
        <v>0</v>
      </c>
      <c r="N214" s="246">
        <f>SUM(N215:N218)</f>
        <v>0</v>
      </c>
      <c r="O214" s="246">
        <f>SUM(O215:O218)</f>
        <v>0</v>
      </c>
      <c r="P214" s="247">
        <f>SUM(P215:P218)</f>
        <v>0</v>
      </c>
    </row>
    <row r="215" spans="1:16" ht="12" hidden="1" customHeight="1" x14ac:dyDescent="0.2">
      <c r="A215" s="22"/>
      <c r="B215" s="16"/>
      <c r="C215" s="35"/>
      <c r="D215" s="16" t="s">
        <v>175</v>
      </c>
      <c r="E215" s="23"/>
      <c r="F215" s="85"/>
      <c r="G215" s="92"/>
      <c r="H215" s="92"/>
      <c r="I215" s="92"/>
      <c r="J215" s="31" t="s">
        <v>461</v>
      </c>
      <c r="K215" s="31" t="s">
        <v>464</v>
      </c>
      <c r="L215" s="16" t="s">
        <v>465</v>
      </c>
      <c r="M215" s="221">
        <f>SUM(N215:P215)</f>
        <v>0</v>
      </c>
      <c r="N215" s="222"/>
      <c r="O215" s="222"/>
      <c r="P215" s="223"/>
    </row>
    <row r="216" spans="1:16" ht="12" hidden="1" customHeight="1" x14ac:dyDescent="0.2">
      <c r="A216" s="22"/>
      <c r="B216" s="16"/>
      <c r="C216" s="35"/>
      <c r="D216" s="16"/>
      <c r="E216" s="23"/>
      <c r="F216" s="85"/>
      <c r="G216" s="92"/>
      <c r="H216" s="92"/>
      <c r="I216" s="92"/>
      <c r="J216" s="31" t="s">
        <v>461</v>
      </c>
      <c r="K216" s="31" t="s">
        <v>129</v>
      </c>
      <c r="L216" s="16" t="s">
        <v>130</v>
      </c>
      <c r="M216" s="221">
        <f t="shared" ref="M216:M217" si="46">SUM(N216:P216)</f>
        <v>0</v>
      </c>
      <c r="N216" s="222"/>
      <c r="O216" s="222"/>
      <c r="P216" s="223">
        <v>0</v>
      </c>
    </row>
    <row r="217" spans="1:16" ht="12" hidden="1" customHeight="1" x14ac:dyDescent="0.2">
      <c r="A217" s="22"/>
      <c r="B217" s="16"/>
      <c r="C217" s="35"/>
      <c r="D217" s="16"/>
      <c r="E217" s="23"/>
      <c r="F217" s="85"/>
      <c r="G217" s="92"/>
      <c r="H217" s="92"/>
      <c r="I217" s="92"/>
      <c r="J217" s="31" t="s">
        <v>461</v>
      </c>
      <c r="K217" s="31" t="s">
        <v>466</v>
      </c>
      <c r="L217" s="16" t="s">
        <v>467</v>
      </c>
      <c r="M217" s="221">
        <f t="shared" si="46"/>
        <v>0</v>
      </c>
      <c r="N217" s="222"/>
      <c r="O217" s="222"/>
      <c r="P217" s="223"/>
    </row>
    <row r="218" spans="1:16" ht="12" hidden="1" customHeight="1" x14ac:dyDescent="0.2">
      <c r="A218" s="22"/>
      <c r="B218" s="16"/>
      <c r="C218" s="35"/>
      <c r="D218" s="16"/>
      <c r="E218" s="23"/>
      <c r="F218" s="85"/>
      <c r="G218" s="92"/>
      <c r="H218" s="92"/>
      <c r="I218" s="92"/>
      <c r="J218" s="31" t="s">
        <v>461</v>
      </c>
      <c r="K218" s="31" t="s">
        <v>131</v>
      </c>
      <c r="L218" s="16" t="s">
        <v>132</v>
      </c>
      <c r="M218" s="221"/>
      <c r="N218" s="222"/>
      <c r="O218" s="222"/>
      <c r="P218" s="223"/>
    </row>
    <row r="219" spans="1:16" ht="12" customHeight="1" x14ac:dyDescent="0.2">
      <c r="A219" s="22"/>
      <c r="B219" s="16"/>
      <c r="C219" s="35"/>
      <c r="D219" s="16"/>
      <c r="E219" s="23"/>
      <c r="F219" s="90"/>
      <c r="G219" s="106"/>
      <c r="H219" s="106"/>
      <c r="I219" s="106"/>
      <c r="J219" s="31" t="s">
        <v>461</v>
      </c>
      <c r="K219" s="17" t="s">
        <v>468</v>
      </c>
      <c r="L219" s="34" t="s">
        <v>469</v>
      </c>
      <c r="M219" s="242">
        <f>SUM(N219:P219)</f>
        <v>2810416.11</v>
      </c>
      <c r="N219" s="246">
        <f>SUM(N220:N224)</f>
        <v>235131.4</v>
      </c>
      <c r="O219" s="246">
        <f t="shared" ref="O219:P219" si="47">SUM(O220:O224)</f>
        <v>2575284.71</v>
      </c>
      <c r="P219" s="247">
        <f t="shared" si="47"/>
        <v>0</v>
      </c>
    </row>
    <row r="220" spans="1:16" ht="12" hidden="1" customHeight="1" x14ac:dyDescent="0.2">
      <c r="A220" s="22"/>
      <c r="B220" s="16"/>
      <c r="C220" s="35"/>
      <c r="D220" s="16"/>
      <c r="E220" s="23"/>
      <c r="F220" s="85"/>
      <c r="G220" s="106"/>
      <c r="H220" s="105"/>
      <c r="I220" s="106"/>
      <c r="J220" s="31" t="s">
        <v>461</v>
      </c>
      <c r="K220" s="31" t="s">
        <v>133</v>
      </c>
      <c r="L220" s="16" t="s">
        <v>134</v>
      </c>
      <c r="M220" s="221"/>
      <c r="N220" s="251"/>
      <c r="O220" s="251"/>
      <c r="P220" s="252"/>
    </row>
    <row r="221" spans="1:16" ht="12" hidden="1" customHeight="1" x14ac:dyDescent="0.2">
      <c r="A221" s="22"/>
      <c r="B221" s="16"/>
      <c r="C221" s="35"/>
      <c r="D221" s="16"/>
      <c r="E221" s="23"/>
      <c r="F221" s="85"/>
      <c r="G221" s="106"/>
      <c r="H221" s="106"/>
      <c r="I221" s="106"/>
      <c r="J221" s="31" t="s">
        <v>461</v>
      </c>
      <c r="K221" s="31" t="s">
        <v>470</v>
      </c>
      <c r="L221" s="16" t="s">
        <v>471</v>
      </c>
      <c r="M221" s="221"/>
      <c r="N221" s="246"/>
      <c r="O221" s="246"/>
      <c r="P221" s="247"/>
    </row>
    <row r="222" spans="1:16" ht="12" hidden="1" customHeight="1" x14ac:dyDescent="0.2">
      <c r="A222" s="22"/>
      <c r="B222" s="16"/>
      <c r="C222" s="35"/>
      <c r="D222" s="16"/>
      <c r="E222" s="23"/>
      <c r="F222" s="85"/>
      <c r="G222" s="106"/>
      <c r="H222" s="106"/>
      <c r="I222" s="106"/>
      <c r="J222" s="31" t="s">
        <v>461</v>
      </c>
      <c r="K222" s="31" t="s">
        <v>472</v>
      </c>
      <c r="L222" s="16" t="s">
        <v>473</v>
      </c>
      <c r="M222" s="221"/>
      <c r="N222" s="246"/>
      <c r="O222" s="246"/>
      <c r="P222" s="247"/>
    </row>
    <row r="223" spans="1:16" ht="12" hidden="1" customHeight="1" x14ac:dyDescent="0.2">
      <c r="A223" s="22"/>
      <c r="B223" s="16"/>
      <c r="C223" s="35"/>
      <c r="D223" s="16"/>
      <c r="E223" s="23"/>
      <c r="F223" s="85"/>
      <c r="G223" s="106"/>
      <c r="H223" s="106"/>
      <c r="I223" s="106"/>
      <c r="J223" s="31" t="s">
        <v>461</v>
      </c>
      <c r="K223" s="31" t="s">
        <v>474</v>
      </c>
      <c r="L223" s="16" t="s">
        <v>475</v>
      </c>
      <c r="M223" s="221"/>
      <c r="N223" s="246"/>
      <c r="O223" s="246"/>
      <c r="P223" s="247"/>
    </row>
    <row r="224" spans="1:16" ht="12" customHeight="1" x14ac:dyDescent="0.2">
      <c r="A224" s="22"/>
      <c r="B224" s="16"/>
      <c r="C224" s="35"/>
      <c r="D224" s="16"/>
      <c r="E224" s="23"/>
      <c r="F224" s="85"/>
      <c r="G224" s="105"/>
      <c r="H224" s="105"/>
      <c r="I224" s="105"/>
      <c r="J224" s="31" t="s">
        <v>461</v>
      </c>
      <c r="K224" s="31" t="s">
        <v>148</v>
      </c>
      <c r="L224" s="16" t="s">
        <v>476</v>
      </c>
      <c r="M224" s="221">
        <f>SUM(N224:O224)</f>
        <v>2810416.11</v>
      </c>
      <c r="N224" s="251">
        <v>235131.4</v>
      </c>
      <c r="O224" s="251">
        <v>2575284.71</v>
      </c>
      <c r="P224" s="252"/>
    </row>
    <row r="225" spans="1:17" s="43" customFormat="1" ht="22.5" x14ac:dyDescent="0.25">
      <c r="A225" s="38"/>
      <c r="B225" s="39"/>
      <c r="C225" s="58"/>
      <c r="D225" s="39"/>
      <c r="E225" s="59"/>
      <c r="F225" s="109"/>
      <c r="G225" s="110"/>
      <c r="H225" s="110"/>
      <c r="I225" s="110"/>
      <c r="J225" s="44" t="s">
        <v>461</v>
      </c>
      <c r="K225" s="41" t="s">
        <v>477</v>
      </c>
      <c r="L225" s="42" t="s">
        <v>135</v>
      </c>
      <c r="M225" s="253">
        <f>SUM(N225:P225)</f>
        <v>22977467</v>
      </c>
      <c r="N225" s="254">
        <f>SUM(N226:N229)</f>
        <v>22977467</v>
      </c>
      <c r="O225" s="254">
        <f>SUM(O226:O229)</f>
        <v>0</v>
      </c>
      <c r="P225" s="255">
        <f>SUM(P226:P229)</f>
        <v>0</v>
      </c>
      <c r="Q225" s="233"/>
    </row>
    <row r="226" spans="1:17" ht="12" hidden="1" customHeight="1" x14ac:dyDescent="0.2">
      <c r="A226" s="22"/>
      <c r="B226" s="16"/>
      <c r="C226" s="35"/>
      <c r="D226" s="16" t="s">
        <v>175</v>
      </c>
      <c r="E226" s="23"/>
      <c r="F226" s="85"/>
      <c r="G226" s="92"/>
      <c r="H226" s="92"/>
      <c r="I226" s="92"/>
      <c r="J226" s="31" t="s">
        <v>461</v>
      </c>
      <c r="K226" s="31" t="s">
        <v>136</v>
      </c>
      <c r="L226" s="23" t="s">
        <v>185</v>
      </c>
      <c r="M226" s="219">
        <f>SUM(N226:P226)</f>
        <v>0</v>
      </c>
      <c r="N226" s="222">
        <v>0</v>
      </c>
      <c r="O226" s="222">
        <v>0</v>
      </c>
      <c r="P226" s="223"/>
    </row>
    <row r="227" spans="1:17" ht="12" customHeight="1" x14ac:dyDescent="0.2">
      <c r="A227" s="22"/>
      <c r="B227" s="16"/>
      <c r="C227" s="35"/>
      <c r="D227" s="16"/>
      <c r="E227" s="23"/>
      <c r="F227" s="92"/>
      <c r="G227" s="92"/>
      <c r="H227" s="92"/>
      <c r="I227" s="82"/>
      <c r="J227" s="31" t="s">
        <v>461</v>
      </c>
      <c r="K227" s="31" t="s">
        <v>137</v>
      </c>
      <c r="L227" s="23" t="s">
        <v>478</v>
      </c>
      <c r="M227" s="222">
        <f t="shared" ref="M227:M229" si="48">SUM(N227:P227)</f>
        <v>22977467</v>
      </c>
      <c r="N227" s="223">
        <v>22977467</v>
      </c>
      <c r="O227" s="222">
        <v>0</v>
      </c>
      <c r="P227" s="223"/>
    </row>
    <row r="228" spans="1:17" ht="12" hidden="1" customHeight="1" thickBot="1" x14ac:dyDescent="0.25">
      <c r="A228" s="22"/>
      <c r="B228" s="16"/>
      <c r="C228" s="35"/>
      <c r="D228" s="16"/>
      <c r="E228" s="23"/>
      <c r="F228" s="92"/>
      <c r="G228" s="92"/>
      <c r="H228" s="92"/>
      <c r="I228" s="82"/>
      <c r="J228" s="31" t="s">
        <v>461</v>
      </c>
      <c r="K228" s="31" t="s">
        <v>138</v>
      </c>
      <c r="L228" s="23" t="s">
        <v>186</v>
      </c>
      <c r="M228" s="222">
        <f t="shared" si="48"/>
        <v>0</v>
      </c>
      <c r="N228" s="223"/>
      <c r="O228" s="222"/>
      <c r="P228" s="241"/>
    </row>
    <row r="229" spans="1:17" ht="12" hidden="1" customHeight="1" x14ac:dyDescent="0.2">
      <c r="A229" s="22"/>
      <c r="B229" s="16"/>
      <c r="C229" s="35"/>
      <c r="D229" s="16"/>
      <c r="E229" s="23"/>
      <c r="F229" s="85"/>
      <c r="G229" s="86"/>
      <c r="H229" s="86"/>
      <c r="I229" s="86"/>
      <c r="J229" s="31" t="s">
        <v>461</v>
      </c>
      <c r="K229" s="31" t="s">
        <v>479</v>
      </c>
      <c r="L229" s="16" t="s">
        <v>480</v>
      </c>
      <c r="M229" s="222">
        <f t="shared" si="48"/>
        <v>0</v>
      </c>
      <c r="N229" s="223"/>
      <c r="O229" s="222"/>
      <c r="P229" s="223"/>
    </row>
    <row r="230" spans="1:17" ht="12" hidden="1" customHeight="1" x14ac:dyDescent="0.2">
      <c r="A230" s="22"/>
      <c r="B230" s="16"/>
      <c r="C230" s="35"/>
      <c r="D230" s="16"/>
      <c r="E230" s="23"/>
      <c r="F230" s="90"/>
      <c r="G230" s="106"/>
      <c r="H230" s="106"/>
      <c r="I230" s="106"/>
      <c r="J230" s="31" t="s">
        <v>461</v>
      </c>
      <c r="K230" s="17" t="s">
        <v>481</v>
      </c>
      <c r="L230" s="34" t="s">
        <v>139</v>
      </c>
      <c r="M230" s="242">
        <f>SUM(N230:P230)</f>
        <v>0</v>
      </c>
      <c r="N230" s="246">
        <f>SUM(N231:N231)</f>
        <v>0</v>
      </c>
      <c r="O230" s="246">
        <f t="shared" ref="O230:P230" si="49">SUM(O231:O231)</f>
        <v>0</v>
      </c>
      <c r="P230" s="247">
        <f t="shared" si="49"/>
        <v>0</v>
      </c>
    </row>
    <row r="231" spans="1:17" ht="12" hidden="1" customHeight="1" x14ac:dyDescent="0.2">
      <c r="A231" s="22"/>
      <c r="B231" s="16"/>
      <c r="C231" s="35"/>
      <c r="D231" s="16" t="s">
        <v>175</v>
      </c>
      <c r="E231" s="23"/>
      <c r="F231" s="85"/>
      <c r="G231" s="92"/>
      <c r="H231" s="92"/>
      <c r="I231" s="92"/>
      <c r="J231" s="31" t="s">
        <v>461</v>
      </c>
      <c r="K231" s="31" t="s">
        <v>140</v>
      </c>
      <c r="L231" s="16" t="s">
        <v>187</v>
      </c>
      <c r="M231" s="221"/>
      <c r="N231" s="222"/>
      <c r="O231" s="222"/>
      <c r="P231" s="223"/>
    </row>
    <row r="232" spans="1:17" ht="12" hidden="1" customHeight="1" x14ac:dyDescent="0.2">
      <c r="A232" s="22"/>
      <c r="B232" s="16"/>
      <c r="C232" s="35"/>
      <c r="D232" s="16"/>
      <c r="E232" s="23"/>
      <c r="F232" s="90"/>
      <c r="G232" s="106"/>
      <c r="H232" s="106"/>
      <c r="I232" s="106"/>
      <c r="J232" s="31" t="s">
        <v>461</v>
      </c>
      <c r="K232" s="17" t="s">
        <v>482</v>
      </c>
      <c r="L232" s="34" t="s">
        <v>483</v>
      </c>
      <c r="M232" s="242">
        <f>SUM(N232:P232)</f>
        <v>0</v>
      </c>
      <c r="N232" s="246">
        <f>SUM(N233:N235)</f>
        <v>0</v>
      </c>
      <c r="O232" s="246">
        <f t="shared" ref="O232:P232" si="50">SUM(O233:O235)</f>
        <v>0</v>
      </c>
      <c r="P232" s="247">
        <f t="shared" si="50"/>
        <v>0</v>
      </c>
    </row>
    <row r="233" spans="1:17" ht="12" hidden="1" customHeight="1" x14ac:dyDescent="0.2">
      <c r="A233" s="22"/>
      <c r="B233" s="16"/>
      <c r="C233" s="35"/>
      <c r="D233" s="16"/>
      <c r="E233" s="23"/>
      <c r="F233" s="85"/>
      <c r="G233" s="92"/>
      <c r="H233" s="92"/>
      <c r="I233" s="92"/>
      <c r="J233" s="31" t="s">
        <v>461</v>
      </c>
      <c r="K233" s="31" t="s">
        <v>141</v>
      </c>
      <c r="L233" s="32" t="s">
        <v>142</v>
      </c>
      <c r="M233" s="221"/>
      <c r="N233" s="222"/>
      <c r="O233" s="222"/>
      <c r="P233" s="223"/>
    </row>
    <row r="234" spans="1:17" ht="12" hidden="1" customHeight="1" x14ac:dyDescent="0.2">
      <c r="A234" s="22"/>
      <c r="B234" s="16"/>
      <c r="C234" s="35"/>
      <c r="D234" s="16"/>
      <c r="E234" s="23"/>
      <c r="F234" s="85"/>
      <c r="G234" s="86"/>
      <c r="H234" s="86"/>
      <c r="I234" s="86"/>
      <c r="J234" s="31" t="s">
        <v>461</v>
      </c>
      <c r="K234" s="31" t="s">
        <v>143</v>
      </c>
      <c r="L234" s="32" t="s">
        <v>144</v>
      </c>
      <c r="M234" s="221"/>
      <c r="N234" s="222"/>
      <c r="O234" s="222"/>
      <c r="P234" s="223"/>
    </row>
    <row r="235" spans="1:17" ht="12" hidden="1" customHeight="1" x14ac:dyDescent="0.2">
      <c r="A235" s="22"/>
      <c r="B235" s="16"/>
      <c r="C235" s="35"/>
      <c r="D235" s="16"/>
      <c r="E235" s="23"/>
      <c r="F235" s="85"/>
      <c r="G235" s="86"/>
      <c r="H235" s="86"/>
      <c r="I235" s="86"/>
      <c r="J235" s="31" t="s">
        <v>175</v>
      </c>
      <c r="K235" s="31"/>
      <c r="L235" s="16"/>
      <c r="M235" s="221"/>
      <c r="N235" s="222"/>
      <c r="O235" s="222"/>
      <c r="P235" s="223"/>
    </row>
    <row r="236" spans="1:17" ht="12" customHeight="1" x14ac:dyDescent="0.2">
      <c r="A236" s="22"/>
      <c r="B236" s="16"/>
      <c r="C236" s="35" t="s">
        <v>484</v>
      </c>
      <c r="D236" s="16" t="s">
        <v>485</v>
      </c>
      <c r="E236" s="23"/>
      <c r="F236" s="85">
        <f>SUM(G236:I236)</f>
        <v>9800000</v>
      </c>
      <c r="G236" s="105">
        <f>+N236</f>
        <v>0</v>
      </c>
      <c r="H236" s="105">
        <f>+O236</f>
        <v>9800000</v>
      </c>
      <c r="I236" s="106">
        <f>+P236</f>
        <v>0</v>
      </c>
      <c r="J236" s="17" t="s">
        <v>484</v>
      </c>
      <c r="K236" s="17" t="s">
        <v>145</v>
      </c>
      <c r="L236" s="34" t="s">
        <v>146</v>
      </c>
      <c r="M236" s="242">
        <f>SUM(N236:P236)</f>
        <v>9800000</v>
      </c>
      <c r="N236" s="246">
        <f>SUM(N237:N238)</f>
        <v>0</v>
      </c>
      <c r="O236" s="246">
        <f t="shared" ref="O236:P236" si="51">SUM(O237:O238)</f>
        <v>9800000</v>
      </c>
      <c r="P236" s="247">
        <f t="shared" si="51"/>
        <v>0</v>
      </c>
    </row>
    <row r="237" spans="1:17" ht="12" customHeight="1" x14ac:dyDescent="0.2">
      <c r="A237" s="22"/>
      <c r="B237" s="16"/>
      <c r="C237" s="16"/>
      <c r="D237" s="16" t="s">
        <v>175</v>
      </c>
      <c r="E237" s="23"/>
      <c r="F237" s="85"/>
      <c r="G237" s="92"/>
      <c r="H237" s="92"/>
      <c r="I237" s="92"/>
      <c r="J237" s="31" t="s">
        <v>484</v>
      </c>
      <c r="K237" s="31" t="s">
        <v>147</v>
      </c>
      <c r="L237" s="16" t="s">
        <v>188</v>
      </c>
      <c r="M237" s="221">
        <f>SUM(N237:O237)</f>
        <v>9800000</v>
      </c>
      <c r="N237" s="222">
        <v>0</v>
      </c>
      <c r="O237" s="222">
        <v>9800000</v>
      </c>
      <c r="P237" s="223"/>
    </row>
    <row r="238" spans="1:17" ht="12" customHeight="1" x14ac:dyDescent="0.2">
      <c r="A238" s="22"/>
      <c r="B238" s="16"/>
      <c r="C238" s="16"/>
      <c r="D238" s="16" t="s">
        <v>175</v>
      </c>
      <c r="E238" s="23"/>
      <c r="F238" s="85"/>
      <c r="G238" s="86"/>
      <c r="H238" s="86"/>
      <c r="I238" s="86"/>
      <c r="J238" s="31" t="s">
        <v>484</v>
      </c>
      <c r="K238" s="31" t="s">
        <v>486</v>
      </c>
      <c r="L238" s="16" t="s">
        <v>487</v>
      </c>
      <c r="M238" s="221">
        <f>SUM(N238:O238)</f>
        <v>0</v>
      </c>
      <c r="N238" s="222"/>
      <c r="O238" s="222"/>
      <c r="P238" s="223"/>
    </row>
    <row r="239" spans="1:17" ht="12" customHeight="1" x14ac:dyDescent="0.2">
      <c r="A239" s="60" t="s">
        <v>488</v>
      </c>
      <c r="B239" s="29" t="s">
        <v>489</v>
      </c>
      <c r="C239" s="29"/>
      <c r="D239" s="29"/>
      <c r="E239" s="57"/>
      <c r="F239" s="102">
        <f>SUM(G239:I239)</f>
        <v>709187.28</v>
      </c>
      <c r="G239" s="103">
        <f>+G242+G253</f>
        <v>0</v>
      </c>
      <c r="H239" s="103">
        <f>+H242+H253</f>
        <v>709187.28</v>
      </c>
      <c r="I239" s="103">
        <f>+I242+I253</f>
        <v>0</v>
      </c>
      <c r="J239" s="31"/>
      <c r="K239" s="31"/>
      <c r="L239" s="16"/>
      <c r="M239" s="221"/>
      <c r="N239" s="222"/>
      <c r="O239" s="222"/>
      <c r="P239" s="223"/>
    </row>
    <row r="240" spans="1:17" s="25" customFormat="1" ht="12" customHeight="1" x14ac:dyDescent="0.2">
      <c r="A240" s="56"/>
      <c r="B240" s="32"/>
      <c r="C240" s="32"/>
      <c r="D240" s="32"/>
      <c r="E240" s="256"/>
      <c r="F240" s="98"/>
      <c r="G240" s="98"/>
      <c r="H240" s="98"/>
      <c r="I240" s="121"/>
      <c r="J240" s="17">
        <v>2</v>
      </c>
      <c r="K240" s="17">
        <v>5</v>
      </c>
      <c r="L240" s="53" t="s">
        <v>490</v>
      </c>
      <c r="M240" s="243">
        <f>+M242+M255+M265+M268+M273</f>
        <v>709187.28</v>
      </c>
      <c r="N240" s="244">
        <f t="shared" ref="N240:P240" si="52">+N242+N255+N265+N268+N273</f>
        <v>0</v>
      </c>
      <c r="O240" s="244">
        <f>+O242+O255+O265+O268+O273</f>
        <v>709187.28</v>
      </c>
      <c r="P240" s="245">
        <f t="shared" si="52"/>
        <v>0</v>
      </c>
      <c r="Q240" s="177"/>
    </row>
    <row r="241" spans="1:16" ht="12" hidden="1" customHeight="1" x14ac:dyDescent="0.2">
      <c r="A241" s="22"/>
      <c r="B241" s="16"/>
      <c r="C241" s="16"/>
      <c r="D241" s="16"/>
      <c r="E241" s="23"/>
      <c r="F241" s="85"/>
      <c r="G241" s="86"/>
      <c r="H241" s="86"/>
      <c r="I241" s="86"/>
      <c r="J241" s="31"/>
      <c r="K241" s="31"/>
      <c r="L241" s="16"/>
      <c r="M241" s="221"/>
      <c r="N241" s="222"/>
      <c r="O241" s="222"/>
      <c r="P241" s="223"/>
    </row>
    <row r="242" spans="1:16" ht="12" hidden="1" customHeight="1" x14ac:dyDescent="0.2">
      <c r="A242" s="22"/>
      <c r="B242" s="33" t="s">
        <v>491</v>
      </c>
      <c r="C242" s="27" t="s">
        <v>492</v>
      </c>
      <c r="D242" s="16"/>
      <c r="E242" s="23"/>
      <c r="F242" s="85"/>
      <c r="G242" s="86"/>
      <c r="H242" s="86"/>
      <c r="I242" s="86"/>
      <c r="J242" s="17" t="s">
        <v>175</v>
      </c>
      <c r="K242" s="17" t="s">
        <v>493</v>
      </c>
      <c r="L242" s="34" t="s">
        <v>494</v>
      </c>
      <c r="M242" s="221"/>
      <c r="N242" s="222"/>
      <c r="O242" s="222"/>
      <c r="P242" s="223"/>
    </row>
    <row r="243" spans="1:16" ht="12" hidden="1" customHeight="1" x14ac:dyDescent="0.2">
      <c r="A243" s="22"/>
      <c r="B243" s="33"/>
      <c r="C243" s="27"/>
      <c r="D243" s="16"/>
      <c r="E243" s="23"/>
      <c r="F243" s="85"/>
      <c r="G243" s="86"/>
      <c r="H243" s="86"/>
      <c r="I243" s="86"/>
      <c r="J243" s="17"/>
      <c r="K243" s="17"/>
      <c r="L243" s="34"/>
      <c r="M243" s="221"/>
      <c r="N243" s="222"/>
      <c r="O243" s="222"/>
      <c r="P243" s="223"/>
    </row>
    <row r="244" spans="1:16" ht="12" hidden="1" customHeight="1" x14ac:dyDescent="0.2">
      <c r="A244" s="22"/>
      <c r="B244" s="61"/>
      <c r="C244" s="35" t="s">
        <v>495</v>
      </c>
      <c r="D244" s="16" t="s">
        <v>496</v>
      </c>
      <c r="E244" s="23"/>
      <c r="F244" s="85"/>
      <c r="G244" s="86"/>
      <c r="H244" s="86">
        <f>+O244</f>
        <v>0</v>
      </c>
      <c r="I244" s="86">
        <f>+P244</f>
        <v>0</v>
      </c>
      <c r="J244" s="35" t="s">
        <v>495</v>
      </c>
      <c r="K244" s="31" t="s">
        <v>497</v>
      </c>
      <c r="L244" s="16" t="s">
        <v>498</v>
      </c>
      <c r="M244" s="221"/>
      <c r="N244" s="222"/>
      <c r="O244" s="222"/>
      <c r="P244" s="223"/>
    </row>
    <row r="245" spans="1:16" ht="12" hidden="1" customHeight="1" x14ac:dyDescent="0.2">
      <c r="A245" s="22"/>
      <c r="B245" s="61"/>
      <c r="C245" s="35" t="s">
        <v>499</v>
      </c>
      <c r="D245" s="16" t="s">
        <v>500</v>
      </c>
      <c r="E245" s="23"/>
      <c r="F245" s="85"/>
      <c r="G245" s="86"/>
      <c r="H245" s="86"/>
      <c r="I245" s="86"/>
      <c r="J245" s="35" t="s">
        <v>499</v>
      </c>
      <c r="K245" s="31" t="s">
        <v>501</v>
      </c>
      <c r="L245" s="16" t="s">
        <v>502</v>
      </c>
      <c r="M245" s="221"/>
      <c r="N245" s="222"/>
      <c r="O245" s="222"/>
      <c r="P245" s="223"/>
    </row>
    <row r="246" spans="1:16" ht="12" hidden="1" customHeight="1" x14ac:dyDescent="0.2">
      <c r="A246" s="22"/>
      <c r="B246" s="61"/>
      <c r="C246" s="16"/>
      <c r="D246" s="16"/>
      <c r="E246" s="23"/>
      <c r="F246" s="85"/>
      <c r="G246" s="86"/>
      <c r="H246" s="86"/>
      <c r="I246" s="86"/>
      <c r="J246" s="35" t="s">
        <v>499</v>
      </c>
      <c r="K246" s="31" t="s">
        <v>503</v>
      </c>
      <c r="L246" s="16" t="s">
        <v>504</v>
      </c>
      <c r="M246" s="221"/>
      <c r="N246" s="222"/>
      <c r="O246" s="222"/>
      <c r="P246" s="223"/>
    </row>
    <row r="247" spans="1:16" ht="12" hidden="1" customHeight="1" x14ac:dyDescent="0.2">
      <c r="A247" s="22"/>
      <c r="B247" s="16"/>
      <c r="C247" s="16"/>
      <c r="D247" s="16"/>
      <c r="E247" s="23"/>
      <c r="F247" s="85"/>
      <c r="G247" s="86"/>
      <c r="H247" s="86"/>
      <c r="I247" s="86"/>
      <c r="J247" s="35" t="s">
        <v>499</v>
      </c>
      <c r="K247" s="31" t="s">
        <v>505</v>
      </c>
      <c r="L247" s="16" t="s">
        <v>506</v>
      </c>
      <c r="M247" s="221"/>
      <c r="N247" s="222"/>
      <c r="O247" s="222"/>
      <c r="P247" s="223"/>
    </row>
    <row r="248" spans="1:16" ht="12" hidden="1" customHeight="1" x14ac:dyDescent="0.2">
      <c r="A248" s="22"/>
      <c r="B248" s="16"/>
      <c r="C248" s="16"/>
      <c r="D248" s="16"/>
      <c r="E248" s="23"/>
      <c r="F248" s="85"/>
      <c r="G248" s="86"/>
      <c r="H248" s="86"/>
      <c r="I248" s="86"/>
      <c r="J248" s="35" t="s">
        <v>499</v>
      </c>
      <c r="K248" s="31" t="s">
        <v>507</v>
      </c>
      <c r="L248" s="16" t="s">
        <v>508</v>
      </c>
      <c r="M248" s="221"/>
      <c r="N248" s="222"/>
      <c r="O248" s="222"/>
      <c r="P248" s="223"/>
    </row>
    <row r="249" spans="1:16" ht="12" hidden="1" customHeight="1" x14ac:dyDescent="0.2">
      <c r="A249" s="22"/>
      <c r="B249" s="16"/>
      <c r="C249" s="35" t="s">
        <v>509</v>
      </c>
      <c r="D249" s="16" t="s">
        <v>510</v>
      </c>
      <c r="E249" s="23"/>
      <c r="F249" s="85"/>
      <c r="G249" s="86"/>
      <c r="H249" s="86"/>
      <c r="I249" s="86"/>
      <c r="J249" s="35" t="s">
        <v>509</v>
      </c>
      <c r="K249" s="31" t="s">
        <v>511</v>
      </c>
      <c r="L249" s="16" t="s">
        <v>510</v>
      </c>
      <c r="M249" s="221"/>
      <c r="N249" s="222"/>
      <c r="O249" s="222"/>
      <c r="P249" s="223"/>
    </row>
    <row r="250" spans="1:16" ht="12" hidden="1" customHeight="1" x14ac:dyDescent="0.2">
      <c r="A250" s="22"/>
      <c r="B250" s="16"/>
      <c r="C250" s="35" t="s">
        <v>512</v>
      </c>
      <c r="D250" s="16" t="s">
        <v>513</v>
      </c>
      <c r="E250" s="23"/>
      <c r="F250" s="85"/>
      <c r="G250" s="86"/>
      <c r="H250" s="86"/>
      <c r="I250" s="86"/>
      <c r="J250" s="35" t="s">
        <v>512</v>
      </c>
      <c r="K250" s="31" t="s">
        <v>514</v>
      </c>
      <c r="L250" s="16" t="s">
        <v>513</v>
      </c>
      <c r="M250" s="221"/>
      <c r="N250" s="222"/>
      <c r="O250" s="222"/>
      <c r="P250" s="223"/>
    </row>
    <row r="251" spans="1:16" ht="12" hidden="1" customHeight="1" x14ac:dyDescent="0.2">
      <c r="A251" s="22"/>
      <c r="B251" s="16"/>
      <c r="C251" s="35" t="s">
        <v>515</v>
      </c>
      <c r="D251" s="16" t="s">
        <v>516</v>
      </c>
      <c r="E251" s="23"/>
      <c r="F251" s="85"/>
      <c r="G251" s="86"/>
      <c r="H251" s="86"/>
      <c r="I251" s="86"/>
      <c r="J251" s="35" t="s">
        <v>515</v>
      </c>
      <c r="K251" s="31" t="s">
        <v>517</v>
      </c>
      <c r="L251" s="16" t="s">
        <v>518</v>
      </c>
      <c r="M251" s="221"/>
      <c r="N251" s="222"/>
      <c r="O251" s="222"/>
      <c r="P251" s="223"/>
    </row>
    <row r="252" spans="1:16" ht="12" hidden="1" customHeight="1" x14ac:dyDescent="0.2">
      <c r="A252" s="22"/>
      <c r="B252" s="16"/>
      <c r="C252" s="35"/>
      <c r="D252" s="16"/>
      <c r="E252" s="23"/>
      <c r="F252" s="85"/>
      <c r="G252" s="86"/>
      <c r="H252" s="86"/>
      <c r="I252" s="86"/>
      <c r="J252" s="35"/>
      <c r="K252" s="31"/>
      <c r="L252" s="16"/>
      <c r="M252" s="221"/>
      <c r="N252" s="222"/>
      <c r="O252" s="222"/>
      <c r="P252" s="223"/>
    </row>
    <row r="253" spans="1:16" ht="12" customHeight="1" x14ac:dyDescent="0.2">
      <c r="A253" s="22"/>
      <c r="B253" s="33" t="s">
        <v>519</v>
      </c>
      <c r="C253" s="27" t="s">
        <v>520</v>
      </c>
      <c r="D253" s="16"/>
      <c r="E253" s="23"/>
      <c r="F253" s="90">
        <f>SUM(G253:I253)</f>
        <v>709187.28</v>
      </c>
      <c r="G253" s="112">
        <f>+G255+G269+G270+G274+G275</f>
        <v>0</v>
      </c>
      <c r="H253" s="112">
        <f>+H255+H269+H270+H274+H275</f>
        <v>709187.28</v>
      </c>
      <c r="I253" s="112">
        <f>+I255+I269+I270+I274+I275</f>
        <v>0</v>
      </c>
      <c r="J253" s="31" t="s">
        <v>175</v>
      </c>
      <c r="K253" s="32"/>
      <c r="L253" s="16"/>
      <c r="M253" s="221"/>
      <c r="N253" s="222"/>
      <c r="O253" s="222"/>
      <c r="P253" s="223"/>
    </row>
    <row r="254" spans="1:16" ht="12" customHeight="1" x14ac:dyDescent="0.2">
      <c r="A254" s="22"/>
      <c r="B254" s="33"/>
      <c r="C254" s="27"/>
      <c r="D254" s="16"/>
      <c r="E254" s="23"/>
      <c r="F254" s="85"/>
      <c r="G254" s="86"/>
      <c r="H254" s="86"/>
      <c r="I254" s="86"/>
      <c r="J254" s="31"/>
      <c r="K254" s="32"/>
      <c r="L254" s="16"/>
      <c r="M254" s="221"/>
      <c r="N254" s="222"/>
      <c r="O254" s="222"/>
      <c r="P254" s="223"/>
    </row>
    <row r="255" spans="1:16" ht="12" hidden="1" customHeight="1" x14ac:dyDescent="0.2">
      <c r="A255" s="22"/>
      <c r="B255" s="16"/>
      <c r="C255" s="35" t="s">
        <v>521</v>
      </c>
      <c r="D255" s="16" t="s">
        <v>522</v>
      </c>
      <c r="E255" s="23"/>
      <c r="F255" s="88">
        <f>SUM(G255:I255)</f>
        <v>0</v>
      </c>
      <c r="G255" s="89">
        <f>+N255+N265</f>
        <v>0</v>
      </c>
      <c r="H255" s="89">
        <f>+O255+O265</f>
        <v>0</v>
      </c>
      <c r="I255" s="89"/>
      <c r="J255" s="17" t="s">
        <v>521</v>
      </c>
      <c r="K255" s="17" t="s">
        <v>523</v>
      </c>
      <c r="L255" s="34" t="s">
        <v>111</v>
      </c>
      <c r="M255" s="227">
        <f>SUM(N255:P255)</f>
        <v>0</v>
      </c>
      <c r="N255" s="228">
        <f>SUM(N256:N263)</f>
        <v>0</v>
      </c>
      <c r="O255" s="228">
        <f>SUM(O256:O263)</f>
        <v>0</v>
      </c>
      <c r="P255" s="229">
        <f t="shared" ref="P255" si="53">SUM(P256:P263)</f>
        <v>0</v>
      </c>
    </row>
    <row r="256" spans="1:16" ht="12" hidden="1" customHeight="1" x14ac:dyDescent="0.2">
      <c r="A256" s="22"/>
      <c r="B256" s="16"/>
      <c r="C256" s="16"/>
      <c r="D256" s="16"/>
      <c r="E256" s="23"/>
      <c r="F256" s="85"/>
      <c r="G256" s="92"/>
      <c r="H256" s="92"/>
      <c r="I256" s="92"/>
      <c r="J256" s="31" t="s">
        <v>521</v>
      </c>
      <c r="K256" s="31" t="s">
        <v>524</v>
      </c>
      <c r="L256" s="16" t="s">
        <v>525</v>
      </c>
      <c r="M256" s="221">
        <f>SUM(N256:P256)</f>
        <v>0</v>
      </c>
      <c r="N256" s="222"/>
      <c r="O256" s="222"/>
      <c r="P256" s="223"/>
    </row>
    <row r="257" spans="1:16" ht="12" hidden="1" customHeight="1" x14ac:dyDescent="0.2">
      <c r="A257" s="22"/>
      <c r="B257" s="16"/>
      <c r="C257" s="16"/>
      <c r="D257" s="16"/>
      <c r="E257" s="23"/>
      <c r="F257" s="85"/>
      <c r="G257" s="86"/>
      <c r="H257" s="86"/>
      <c r="I257" s="86"/>
      <c r="J257" s="31" t="s">
        <v>521</v>
      </c>
      <c r="K257" s="31" t="s">
        <v>526</v>
      </c>
      <c r="L257" s="16" t="s">
        <v>527</v>
      </c>
      <c r="M257" s="221">
        <f t="shared" ref="M257:M263" si="54">SUM(N257:P257)</f>
        <v>0</v>
      </c>
      <c r="N257" s="222"/>
      <c r="O257" s="222"/>
      <c r="P257" s="223"/>
    </row>
    <row r="258" spans="1:16" ht="12" hidden="1" customHeight="1" x14ac:dyDescent="0.2">
      <c r="A258" s="22"/>
      <c r="B258" s="16"/>
      <c r="C258" s="16"/>
      <c r="D258" s="16"/>
      <c r="E258" s="23"/>
      <c r="F258" s="85"/>
      <c r="G258" s="86"/>
      <c r="H258" s="86"/>
      <c r="I258" s="86"/>
      <c r="J258" s="31" t="s">
        <v>521</v>
      </c>
      <c r="K258" s="31" t="s">
        <v>528</v>
      </c>
      <c r="L258" s="16" t="s">
        <v>529</v>
      </c>
      <c r="M258" s="221">
        <f t="shared" si="54"/>
        <v>0</v>
      </c>
      <c r="N258" s="222"/>
      <c r="O258" s="222"/>
      <c r="P258" s="223"/>
    </row>
    <row r="259" spans="1:16" ht="12" hidden="1" customHeight="1" x14ac:dyDescent="0.2">
      <c r="A259" s="22"/>
      <c r="B259" s="16"/>
      <c r="C259" s="16"/>
      <c r="D259" s="16"/>
      <c r="E259" s="23"/>
      <c r="F259" s="85"/>
      <c r="G259" s="86"/>
      <c r="H259" s="86"/>
      <c r="I259" s="86"/>
      <c r="J259" s="31" t="s">
        <v>521</v>
      </c>
      <c r="K259" s="31" t="s">
        <v>112</v>
      </c>
      <c r="L259" s="16" t="s">
        <v>113</v>
      </c>
      <c r="M259" s="221">
        <f t="shared" si="54"/>
        <v>0</v>
      </c>
      <c r="N259" s="222"/>
      <c r="O259" s="222"/>
      <c r="P259" s="223"/>
    </row>
    <row r="260" spans="1:16" ht="12" hidden="1" customHeight="1" x14ac:dyDescent="0.2">
      <c r="A260" s="22"/>
      <c r="B260" s="16"/>
      <c r="C260" s="16"/>
      <c r="D260" s="16"/>
      <c r="E260" s="23"/>
      <c r="F260" s="85"/>
      <c r="G260" s="86"/>
      <c r="H260" s="86"/>
      <c r="I260" s="86"/>
      <c r="J260" s="31" t="s">
        <v>521</v>
      </c>
      <c r="K260" s="31" t="s">
        <v>114</v>
      </c>
      <c r="L260" s="16" t="s">
        <v>530</v>
      </c>
      <c r="M260" s="221"/>
      <c r="N260" s="222"/>
      <c r="O260" s="222"/>
      <c r="P260" s="223"/>
    </row>
    <row r="261" spans="1:16" ht="12" hidden="1" customHeight="1" x14ac:dyDescent="0.2">
      <c r="A261" s="22"/>
      <c r="B261" s="16"/>
      <c r="C261" s="16"/>
      <c r="D261" s="16"/>
      <c r="E261" s="23"/>
      <c r="F261" s="85"/>
      <c r="G261" s="92"/>
      <c r="H261" s="92"/>
      <c r="I261" s="92"/>
      <c r="J261" s="31" t="s">
        <v>521</v>
      </c>
      <c r="K261" s="31" t="s">
        <v>115</v>
      </c>
      <c r="L261" s="16" t="s">
        <v>116</v>
      </c>
      <c r="M261" s="221">
        <f t="shared" si="54"/>
        <v>0</v>
      </c>
      <c r="N261" s="222"/>
      <c r="O261" s="222"/>
      <c r="P261" s="223"/>
    </row>
    <row r="262" spans="1:16" ht="13.5" hidden="1" customHeight="1" x14ac:dyDescent="0.2">
      <c r="A262" s="22"/>
      <c r="B262" s="16"/>
      <c r="C262" s="16"/>
      <c r="D262" s="16"/>
      <c r="E262" s="23"/>
      <c r="F262" s="85"/>
      <c r="G262" s="86"/>
      <c r="H262" s="86"/>
      <c r="I262" s="86"/>
      <c r="J262" s="31" t="s">
        <v>521</v>
      </c>
      <c r="K262" s="31" t="s">
        <v>531</v>
      </c>
      <c r="L262" s="16" t="s">
        <v>532</v>
      </c>
      <c r="M262" s="221">
        <f t="shared" si="54"/>
        <v>0</v>
      </c>
      <c r="N262" s="222"/>
      <c r="O262" s="222"/>
      <c r="P262" s="223"/>
    </row>
    <row r="263" spans="1:16" ht="12" hidden="1" customHeight="1" x14ac:dyDescent="0.2">
      <c r="A263" s="22"/>
      <c r="B263" s="16"/>
      <c r="C263" s="16"/>
      <c r="D263" s="16"/>
      <c r="E263" s="23"/>
      <c r="F263" s="85"/>
      <c r="G263" s="86"/>
      <c r="H263" s="86"/>
      <c r="I263" s="86"/>
      <c r="J263" s="31" t="s">
        <v>521</v>
      </c>
      <c r="K263" s="31" t="s">
        <v>117</v>
      </c>
      <c r="L263" s="16" t="s">
        <v>533</v>
      </c>
      <c r="M263" s="221">
        <f t="shared" si="54"/>
        <v>0</v>
      </c>
      <c r="N263" s="222">
        <v>0</v>
      </c>
      <c r="O263" s="222">
        <v>0</v>
      </c>
      <c r="P263" s="223">
        <v>0</v>
      </c>
    </row>
    <row r="264" spans="1:16" ht="12" hidden="1" customHeight="1" x14ac:dyDescent="0.2">
      <c r="A264" s="22"/>
      <c r="B264" s="16"/>
      <c r="C264" s="16"/>
      <c r="D264" s="16"/>
      <c r="E264" s="23"/>
      <c r="F264" s="85"/>
      <c r="G264" s="86"/>
      <c r="H264" s="86"/>
      <c r="I264" s="86"/>
      <c r="J264" s="31"/>
      <c r="K264" s="31"/>
      <c r="L264" s="51"/>
      <c r="M264" s="221"/>
      <c r="N264" s="222"/>
      <c r="O264" s="222"/>
      <c r="P264" s="223"/>
    </row>
    <row r="265" spans="1:16" ht="12" hidden="1" customHeight="1" x14ac:dyDescent="0.2">
      <c r="A265" s="22"/>
      <c r="B265" s="16"/>
      <c r="C265" s="16"/>
      <c r="D265" s="16"/>
      <c r="E265" s="23"/>
      <c r="F265" s="85"/>
      <c r="G265" s="86"/>
      <c r="H265" s="86"/>
      <c r="I265" s="86"/>
      <c r="J265" s="17" t="s">
        <v>521</v>
      </c>
      <c r="K265" s="17" t="s">
        <v>534</v>
      </c>
      <c r="L265" s="34" t="s">
        <v>118</v>
      </c>
      <c r="M265" s="221"/>
      <c r="N265" s="222"/>
      <c r="O265" s="222"/>
      <c r="P265" s="223"/>
    </row>
    <row r="266" spans="1:16" ht="12" hidden="1" customHeight="1" x14ac:dyDescent="0.2">
      <c r="A266" s="22"/>
      <c r="B266" s="16"/>
      <c r="C266" s="16"/>
      <c r="D266" s="16"/>
      <c r="E266" s="23"/>
      <c r="F266" s="85"/>
      <c r="G266" s="86"/>
      <c r="H266" s="86"/>
      <c r="I266" s="86"/>
      <c r="J266" s="31" t="s">
        <v>521</v>
      </c>
      <c r="K266" s="31" t="s">
        <v>535</v>
      </c>
      <c r="L266" s="16" t="s">
        <v>536</v>
      </c>
      <c r="M266" s="221"/>
      <c r="N266" s="222"/>
      <c r="O266" s="222"/>
      <c r="P266" s="223"/>
    </row>
    <row r="267" spans="1:16" ht="12" hidden="1" customHeight="1" x14ac:dyDescent="0.2">
      <c r="A267" s="22"/>
      <c r="B267" s="16"/>
      <c r="C267" s="16"/>
      <c r="D267" s="16"/>
      <c r="E267" s="23"/>
      <c r="F267" s="85"/>
      <c r="G267" s="86"/>
      <c r="H267" s="86"/>
      <c r="I267" s="86"/>
      <c r="J267" s="31" t="s">
        <v>175</v>
      </c>
      <c r="K267" s="31"/>
      <c r="L267" s="16"/>
      <c r="M267" s="221"/>
      <c r="N267" s="222"/>
      <c r="O267" s="222"/>
      <c r="P267" s="223"/>
    </row>
    <row r="268" spans="1:16" ht="12" hidden="1" customHeight="1" x14ac:dyDescent="0.2">
      <c r="A268" s="22"/>
      <c r="B268" s="16"/>
      <c r="C268" s="16"/>
      <c r="D268" s="16"/>
      <c r="E268" s="23"/>
      <c r="F268" s="85"/>
      <c r="G268" s="86"/>
      <c r="H268" s="86"/>
      <c r="I268" s="86"/>
      <c r="J268" s="31" t="s">
        <v>175</v>
      </c>
      <c r="K268" s="17" t="s">
        <v>537</v>
      </c>
      <c r="L268" s="34" t="s">
        <v>538</v>
      </c>
      <c r="M268" s="221"/>
      <c r="N268" s="222"/>
      <c r="O268" s="222"/>
      <c r="P268" s="223"/>
    </row>
    <row r="269" spans="1:16" ht="12" hidden="1" customHeight="1" x14ac:dyDescent="0.2">
      <c r="A269" s="22"/>
      <c r="B269" s="16"/>
      <c r="C269" s="35" t="s">
        <v>539</v>
      </c>
      <c r="D269" s="16" t="s">
        <v>540</v>
      </c>
      <c r="E269" s="23"/>
      <c r="F269" s="85">
        <f>SUM(G269:I269)</f>
        <v>0</v>
      </c>
      <c r="G269" s="92">
        <f>+N269</f>
        <v>0</v>
      </c>
      <c r="H269" s="86"/>
      <c r="I269" s="86"/>
      <c r="J269" s="31" t="s">
        <v>539</v>
      </c>
      <c r="K269" s="31" t="s">
        <v>541</v>
      </c>
      <c r="L269" s="16" t="s">
        <v>540</v>
      </c>
      <c r="M269" s="221"/>
      <c r="N269" s="222"/>
      <c r="O269" s="222"/>
      <c r="P269" s="223"/>
    </row>
    <row r="270" spans="1:16" ht="12" hidden="1" customHeight="1" x14ac:dyDescent="0.2">
      <c r="A270" s="22"/>
      <c r="B270" s="16"/>
      <c r="C270" s="35" t="s">
        <v>542</v>
      </c>
      <c r="D270" s="16" t="s">
        <v>498</v>
      </c>
      <c r="E270" s="23"/>
      <c r="F270" s="85">
        <f>SUM(G270:I270)</f>
        <v>0</v>
      </c>
      <c r="G270" s="92">
        <f>+N270+N271</f>
        <v>0</v>
      </c>
      <c r="H270" s="86"/>
      <c r="I270" s="86"/>
      <c r="J270" s="31" t="s">
        <v>542</v>
      </c>
      <c r="K270" s="31" t="s">
        <v>543</v>
      </c>
      <c r="L270" s="16" t="s">
        <v>544</v>
      </c>
      <c r="M270" s="221"/>
      <c r="N270" s="222"/>
      <c r="O270" s="222"/>
      <c r="P270" s="223"/>
    </row>
    <row r="271" spans="1:16" ht="12" hidden="1" customHeight="1" x14ac:dyDescent="0.2">
      <c r="A271" s="22"/>
      <c r="B271" s="16"/>
      <c r="C271" s="35"/>
      <c r="D271" s="16"/>
      <c r="E271" s="23"/>
      <c r="F271" s="85"/>
      <c r="G271" s="86"/>
      <c r="H271" s="86"/>
      <c r="I271" s="86"/>
      <c r="J271" s="31" t="s">
        <v>542</v>
      </c>
      <c r="K271" s="31" t="s">
        <v>545</v>
      </c>
      <c r="L271" s="16" t="s">
        <v>546</v>
      </c>
      <c r="M271" s="221"/>
      <c r="N271" s="222"/>
      <c r="O271" s="222"/>
      <c r="P271" s="223"/>
    </row>
    <row r="272" spans="1:16" ht="12" hidden="1" customHeight="1" x14ac:dyDescent="0.2">
      <c r="A272" s="22"/>
      <c r="B272" s="16"/>
      <c r="C272" s="35"/>
      <c r="D272" s="16"/>
      <c r="E272" s="23"/>
      <c r="F272" s="85"/>
      <c r="G272" s="86"/>
      <c r="H272" s="86"/>
      <c r="I272" s="86"/>
      <c r="J272" s="35"/>
      <c r="K272" s="16"/>
      <c r="L272" s="16"/>
      <c r="M272" s="221"/>
      <c r="N272" s="222"/>
      <c r="O272" s="222"/>
      <c r="P272" s="223"/>
    </row>
    <row r="273" spans="1:16" ht="12" customHeight="1" x14ac:dyDescent="0.2">
      <c r="A273" s="22"/>
      <c r="B273" s="16"/>
      <c r="C273" s="16"/>
      <c r="D273" s="16"/>
      <c r="E273" s="23"/>
      <c r="F273" s="88"/>
      <c r="G273" s="89"/>
      <c r="H273" s="89"/>
      <c r="I273" s="89"/>
      <c r="J273" s="31" t="s">
        <v>175</v>
      </c>
      <c r="K273" s="17" t="s">
        <v>534</v>
      </c>
      <c r="L273" s="34" t="s">
        <v>118</v>
      </c>
      <c r="M273" s="227">
        <f>SUM(N273:P273)</f>
        <v>709187.28</v>
      </c>
      <c r="N273" s="228">
        <f>SUM(N274:N276)</f>
        <v>0</v>
      </c>
      <c r="O273" s="228">
        <f t="shared" ref="O273:P273" si="55">SUM(O274:O276)</f>
        <v>709187.28</v>
      </c>
      <c r="P273" s="229">
        <f t="shared" si="55"/>
        <v>0</v>
      </c>
    </row>
    <row r="274" spans="1:16" ht="12" customHeight="1" x14ac:dyDescent="0.2">
      <c r="A274" s="22"/>
      <c r="B274" s="16"/>
      <c r="C274" s="35" t="s">
        <v>547</v>
      </c>
      <c r="D274" s="16" t="s">
        <v>548</v>
      </c>
      <c r="E274" s="23"/>
      <c r="F274" s="85">
        <f>SUM(G274:I274)</f>
        <v>709187.28</v>
      </c>
      <c r="G274" s="92">
        <f>+N274</f>
        <v>0</v>
      </c>
      <c r="H274" s="92">
        <f>+O274</f>
        <v>709187.28</v>
      </c>
      <c r="I274" s="92">
        <f>+P274</f>
        <v>0</v>
      </c>
      <c r="J274" s="35" t="s">
        <v>547</v>
      </c>
      <c r="K274" s="31" t="s">
        <v>119</v>
      </c>
      <c r="L274" s="16" t="s">
        <v>120</v>
      </c>
      <c r="M274" s="221"/>
      <c r="N274" s="222"/>
      <c r="O274" s="222">
        <v>709187.28</v>
      </c>
      <c r="P274" s="223"/>
    </row>
    <row r="275" spans="1:16" ht="12" hidden="1" customHeight="1" x14ac:dyDescent="0.2">
      <c r="A275" s="22"/>
      <c r="B275" s="16"/>
      <c r="C275" s="35" t="s">
        <v>549</v>
      </c>
      <c r="D275" s="16" t="s">
        <v>550</v>
      </c>
      <c r="E275" s="23"/>
      <c r="F275" s="85">
        <f>SUM(G275:I275)</f>
        <v>0</v>
      </c>
      <c r="G275" s="92">
        <f>+O275+O276</f>
        <v>0</v>
      </c>
      <c r="H275" s="86"/>
      <c r="I275" s="86"/>
      <c r="J275" s="35" t="s">
        <v>549</v>
      </c>
      <c r="K275" s="31" t="s">
        <v>551</v>
      </c>
      <c r="L275" s="16" t="s">
        <v>552</v>
      </c>
      <c r="M275" s="221"/>
      <c r="N275" s="222"/>
      <c r="O275" s="222"/>
      <c r="P275" s="223"/>
    </row>
    <row r="276" spans="1:16" ht="12" hidden="1" customHeight="1" x14ac:dyDescent="0.2">
      <c r="A276" s="22"/>
      <c r="B276" s="16"/>
      <c r="C276" s="16"/>
      <c r="D276" s="16"/>
      <c r="E276" s="23"/>
      <c r="F276" s="85"/>
      <c r="G276" s="86"/>
      <c r="H276" s="86"/>
      <c r="I276" s="86"/>
      <c r="J276" s="35" t="s">
        <v>549</v>
      </c>
      <c r="K276" s="31" t="s">
        <v>553</v>
      </c>
      <c r="L276" s="16" t="s">
        <v>554</v>
      </c>
      <c r="M276" s="221"/>
      <c r="N276" s="222"/>
      <c r="O276" s="222"/>
      <c r="P276" s="223"/>
    </row>
    <row r="277" spans="1:16" ht="12" hidden="1" customHeight="1" x14ac:dyDescent="0.2">
      <c r="A277" s="22"/>
      <c r="B277" s="16"/>
      <c r="C277" s="16"/>
      <c r="D277" s="16"/>
      <c r="E277" s="23"/>
      <c r="F277" s="85"/>
      <c r="G277" s="86"/>
      <c r="H277" s="86"/>
      <c r="I277" s="86"/>
      <c r="J277" s="31"/>
      <c r="K277" s="31"/>
      <c r="L277" s="16"/>
      <c r="M277" s="221"/>
      <c r="N277" s="222"/>
      <c r="O277" s="222"/>
      <c r="P277" s="223"/>
    </row>
    <row r="278" spans="1:16" ht="12" hidden="1" customHeight="1" x14ac:dyDescent="0.2">
      <c r="A278" s="22"/>
      <c r="B278" s="16"/>
      <c r="C278" s="16"/>
      <c r="D278" s="16"/>
      <c r="E278" s="23"/>
      <c r="F278" s="85"/>
      <c r="G278" s="86"/>
      <c r="H278" s="86"/>
      <c r="I278" s="86"/>
      <c r="J278" s="31"/>
      <c r="K278" s="31"/>
      <c r="L278" s="16"/>
      <c r="M278" s="221"/>
      <c r="N278" s="222"/>
      <c r="O278" s="222"/>
      <c r="P278" s="223"/>
    </row>
    <row r="279" spans="1:16" ht="12" hidden="1" customHeight="1" x14ac:dyDescent="0.2">
      <c r="A279" s="22"/>
      <c r="B279" s="33" t="s">
        <v>555</v>
      </c>
      <c r="C279" s="27" t="s">
        <v>556</v>
      </c>
      <c r="D279" s="16"/>
      <c r="E279" s="23"/>
      <c r="F279" s="85"/>
      <c r="G279" s="86"/>
      <c r="H279" s="86"/>
      <c r="I279" s="86"/>
      <c r="J279" s="17" t="s">
        <v>555</v>
      </c>
      <c r="K279" s="17">
        <v>7</v>
      </c>
      <c r="L279" s="53" t="s">
        <v>556</v>
      </c>
      <c r="M279" s="221"/>
      <c r="N279" s="222"/>
      <c r="O279" s="222"/>
      <c r="P279" s="223"/>
    </row>
    <row r="280" spans="1:16" ht="12" hidden="1" customHeight="1" x14ac:dyDescent="0.2">
      <c r="A280" s="22"/>
      <c r="B280" s="16"/>
      <c r="C280" s="16"/>
      <c r="D280" s="16"/>
      <c r="E280" s="23"/>
      <c r="F280" s="85"/>
      <c r="G280" s="86"/>
      <c r="H280" s="86"/>
      <c r="I280" s="86"/>
      <c r="J280" s="31"/>
      <c r="K280" s="31"/>
      <c r="L280" s="32"/>
      <c r="M280" s="221"/>
      <c r="N280" s="222"/>
      <c r="O280" s="222"/>
      <c r="P280" s="223"/>
    </row>
    <row r="281" spans="1:16" ht="12" hidden="1" customHeight="1" x14ac:dyDescent="0.2">
      <c r="A281" s="22"/>
      <c r="B281" s="16"/>
      <c r="C281" s="35" t="s">
        <v>557</v>
      </c>
      <c r="D281" s="16" t="s">
        <v>558</v>
      </c>
      <c r="E281" s="23"/>
      <c r="F281" s="85"/>
      <c r="G281" s="86"/>
      <c r="H281" s="86"/>
      <c r="I281" s="86"/>
      <c r="J281" s="17" t="s">
        <v>557</v>
      </c>
      <c r="K281" s="17" t="s">
        <v>559</v>
      </c>
      <c r="L281" s="34" t="s">
        <v>560</v>
      </c>
      <c r="M281" s="221"/>
      <c r="N281" s="222"/>
      <c r="O281" s="222"/>
      <c r="P281" s="223"/>
    </row>
    <row r="282" spans="1:16" ht="12" hidden="1" customHeight="1" x14ac:dyDescent="0.2">
      <c r="A282" s="22"/>
      <c r="B282" s="16"/>
      <c r="C282" s="35"/>
      <c r="D282" s="16"/>
      <c r="E282" s="23"/>
      <c r="F282" s="85"/>
      <c r="G282" s="86"/>
      <c r="H282" s="86"/>
      <c r="I282" s="86"/>
      <c r="J282" s="31" t="s">
        <v>557</v>
      </c>
      <c r="K282" s="31" t="s">
        <v>561</v>
      </c>
      <c r="L282" s="32" t="s">
        <v>562</v>
      </c>
      <c r="M282" s="221"/>
      <c r="N282" s="222"/>
      <c r="O282" s="222"/>
      <c r="P282" s="223"/>
    </row>
    <row r="283" spans="1:16" ht="12" hidden="1" customHeight="1" x14ac:dyDescent="0.2">
      <c r="A283" s="22"/>
      <c r="B283" s="16"/>
      <c r="C283" s="35"/>
      <c r="D283" s="16"/>
      <c r="E283" s="23"/>
      <c r="F283" s="85"/>
      <c r="G283" s="86"/>
      <c r="H283" s="86"/>
      <c r="I283" s="86"/>
      <c r="J283" s="31" t="s">
        <v>557</v>
      </c>
      <c r="K283" s="31" t="s">
        <v>563</v>
      </c>
      <c r="L283" s="32" t="s">
        <v>564</v>
      </c>
      <c r="M283" s="221"/>
      <c r="N283" s="222"/>
      <c r="O283" s="222"/>
      <c r="P283" s="223"/>
    </row>
    <row r="284" spans="1:16" ht="12" hidden="1" customHeight="1" x14ac:dyDescent="0.2">
      <c r="A284" s="22"/>
      <c r="B284" s="16"/>
      <c r="C284" s="35"/>
      <c r="D284" s="16"/>
      <c r="E284" s="23"/>
      <c r="F284" s="85"/>
      <c r="G284" s="86"/>
      <c r="H284" s="86"/>
      <c r="I284" s="86"/>
      <c r="J284" s="31" t="s">
        <v>557</v>
      </c>
      <c r="K284" s="31" t="s">
        <v>565</v>
      </c>
      <c r="L284" s="32" t="s">
        <v>566</v>
      </c>
      <c r="M284" s="221"/>
      <c r="N284" s="222"/>
      <c r="O284" s="222"/>
      <c r="P284" s="223"/>
    </row>
    <row r="285" spans="1:16" ht="12" hidden="1" customHeight="1" x14ac:dyDescent="0.2">
      <c r="A285" s="22"/>
      <c r="B285" s="16"/>
      <c r="C285" s="35"/>
      <c r="D285" s="16"/>
      <c r="E285" s="23"/>
      <c r="F285" s="85"/>
      <c r="G285" s="86"/>
      <c r="H285" s="86"/>
      <c r="I285" s="86"/>
      <c r="J285" s="31" t="s">
        <v>557</v>
      </c>
      <c r="K285" s="31" t="s">
        <v>567</v>
      </c>
      <c r="L285" s="32" t="s">
        <v>568</v>
      </c>
      <c r="M285" s="221"/>
      <c r="N285" s="222"/>
      <c r="O285" s="222"/>
      <c r="P285" s="223"/>
    </row>
    <row r="286" spans="1:16" ht="12" hidden="1" customHeight="1" x14ac:dyDescent="0.2">
      <c r="A286" s="22"/>
      <c r="B286" s="16"/>
      <c r="C286" s="35"/>
      <c r="D286" s="16"/>
      <c r="E286" s="23"/>
      <c r="F286" s="85"/>
      <c r="G286" s="86"/>
      <c r="H286" s="86"/>
      <c r="I286" s="86"/>
      <c r="J286" s="31" t="s">
        <v>557</v>
      </c>
      <c r="K286" s="31" t="s">
        <v>569</v>
      </c>
      <c r="L286" s="32" t="s">
        <v>570</v>
      </c>
      <c r="M286" s="221"/>
      <c r="N286" s="222"/>
      <c r="O286" s="222"/>
      <c r="P286" s="223"/>
    </row>
    <row r="287" spans="1:16" ht="12" hidden="1" customHeight="1" x14ac:dyDescent="0.2">
      <c r="A287" s="22"/>
      <c r="B287" s="16"/>
      <c r="C287" s="35"/>
      <c r="D287" s="16"/>
      <c r="E287" s="23"/>
      <c r="F287" s="85"/>
      <c r="G287" s="86"/>
      <c r="H287" s="86"/>
      <c r="I287" s="86"/>
      <c r="J287" s="31" t="s">
        <v>557</v>
      </c>
      <c r="K287" s="31" t="s">
        <v>571</v>
      </c>
      <c r="L287" s="32" t="s">
        <v>572</v>
      </c>
      <c r="M287" s="221"/>
      <c r="N287" s="222"/>
      <c r="O287" s="222"/>
      <c r="P287" s="223"/>
    </row>
    <row r="288" spans="1:16" ht="12" hidden="1" customHeight="1" x14ac:dyDescent="0.2">
      <c r="A288" s="22"/>
      <c r="B288" s="16"/>
      <c r="C288" s="35"/>
      <c r="D288" s="16"/>
      <c r="E288" s="23"/>
      <c r="F288" s="85"/>
      <c r="G288" s="86"/>
      <c r="H288" s="86"/>
      <c r="I288" s="86"/>
      <c r="J288" s="31" t="s">
        <v>557</v>
      </c>
      <c r="K288" s="31" t="s">
        <v>573</v>
      </c>
      <c r="L288" s="32" t="s">
        <v>574</v>
      </c>
      <c r="M288" s="221"/>
      <c r="N288" s="222"/>
      <c r="O288" s="222"/>
      <c r="P288" s="223"/>
    </row>
    <row r="289" spans="1:19" ht="12" hidden="1" customHeight="1" x14ac:dyDescent="0.2">
      <c r="A289" s="22"/>
      <c r="B289" s="16"/>
      <c r="C289" s="35"/>
      <c r="D289" s="16"/>
      <c r="E289" s="23"/>
      <c r="F289" s="85"/>
      <c r="G289" s="86"/>
      <c r="H289" s="86"/>
      <c r="I289" s="86"/>
      <c r="J289" s="31"/>
      <c r="K289" s="31"/>
      <c r="L289" s="32"/>
      <c r="M289" s="221"/>
      <c r="N289" s="222"/>
      <c r="O289" s="222"/>
      <c r="P289" s="223"/>
    </row>
    <row r="290" spans="1:19" ht="12" hidden="1" customHeight="1" x14ac:dyDescent="0.2">
      <c r="A290" s="22"/>
      <c r="B290" s="16"/>
      <c r="C290" s="35" t="s">
        <v>575</v>
      </c>
      <c r="D290" s="16" t="s">
        <v>576</v>
      </c>
      <c r="E290" s="23"/>
      <c r="F290" s="85"/>
      <c r="G290" s="86"/>
      <c r="H290" s="86"/>
      <c r="I290" s="86"/>
      <c r="J290" s="33" t="s">
        <v>575</v>
      </c>
      <c r="K290" s="17" t="s">
        <v>577</v>
      </c>
      <c r="L290" s="34" t="s">
        <v>578</v>
      </c>
      <c r="M290" s="221"/>
      <c r="N290" s="222"/>
      <c r="O290" s="222"/>
      <c r="P290" s="223"/>
    </row>
    <row r="291" spans="1:19" ht="12" hidden="1" customHeight="1" x14ac:dyDescent="0.2">
      <c r="A291" s="22"/>
      <c r="B291" s="16"/>
      <c r="C291" s="35"/>
      <c r="D291" s="16" t="s">
        <v>175</v>
      </c>
      <c r="E291" s="23"/>
      <c r="F291" s="85"/>
      <c r="G291" s="98"/>
      <c r="H291" s="86"/>
      <c r="I291" s="86"/>
      <c r="J291" s="35" t="s">
        <v>575</v>
      </c>
      <c r="K291" s="31" t="s">
        <v>579</v>
      </c>
      <c r="L291" s="32" t="s">
        <v>580</v>
      </c>
      <c r="M291" s="221"/>
      <c r="N291" s="237"/>
      <c r="O291" s="222"/>
      <c r="P291" s="223"/>
    </row>
    <row r="292" spans="1:19" ht="12" hidden="1" customHeight="1" x14ac:dyDescent="0.2">
      <c r="A292" s="22"/>
      <c r="B292" s="16"/>
      <c r="C292" s="35"/>
      <c r="D292" s="16"/>
      <c r="E292" s="23"/>
      <c r="F292" s="85"/>
      <c r="G292" s="98"/>
      <c r="H292" s="86"/>
      <c r="I292" s="86"/>
      <c r="J292" s="35" t="s">
        <v>575</v>
      </c>
      <c r="K292" s="17" t="s">
        <v>581</v>
      </c>
      <c r="L292" s="34" t="s">
        <v>582</v>
      </c>
      <c r="M292" s="221"/>
      <c r="N292" s="237"/>
      <c r="O292" s="222"/>
      <c r="P292" s="223"/>
    </row>
    <row r="293" spans="1:19" s="16" customFormat="1" ht="12" hidden="1" customHeight="1" x14ac:dyDescent="0.2">
      <c r="A293" s="22"/>
      <c r="C293" s="35"/>
      <c r="E293" s="23"/>
      <c r="F293" s="85"/>
      <c r="G293" s="98"/>
      <c r="H293" s="86"/>
      <c r="I293" s="86"/>
      <c r="J293" s="35" t="s">
        <v>575</v>
      </c>
      <c r="K293" s="31" t="s">
        <v>583</v>
      </c>
      <c r="L293" s="32" t="s">
        <v>584</v>
      </c>
      <c r="M293" s="221"/>
      <c r="N293" s="237"/>
      <c r="O293" s="222"/>
      <c r="P293" s="223"/>
      <c r="Q293" s="176"/>
      <c r="R293" s="21"/>
      <c r="S293" s="21"/>
    </row>
    <row r="294" spans="1:19" ht="12" hidden="1" customHeight="1" x14ac:dyDescent="0.2">
      <c r="A294" s="22"/>
      <c r="B294" s="16"/>
      <c r="C294" s="35"/>
      <c r="D294" s="16"/>
      <c r="E294" s="23"/>
      <c r="F294" s="85"/>
      <c r="G294" s="98"/>
      <c r="H294" s="86"/>
      <c r="I294" s="86"/>
      <c r="J294" s="35" t="s">
        <v>575</v>
      </c>
      <c r="K294" s="31" t="s">
        <v>585</v>
      </c>
      <c r="L294" s="32" t="s">
        <v>586</v>
      </c>
      <c r="M294" s="221"/>
      <c r="N294" s="237"/>
      <c r="O294" s="222"/>
      <c r="P294" s="223"/>
    </row>
    <row r="295" spans="1:19" ht="12" hidden="1" customHeight="1" x14ac:dyDescent="0.2">
      <c r="A295" s="22"/>
      <c r="B295" s="16"/>
      <c r="C295" s="35"/>
      <c r="D295" s="16"/>
      <c r="E295" s="23"/>
      <c r="F295" s="85"/>
      <c r="G295" s="98"/>
      <c r="H295" s="86"/>
      <c r="I295" s="86"/>
      <c r="J295" s="35" t="s">
        <v>575</v>
      </c>
      <c r="K295" s="31" t="s">
        <v>587</v>
      </c>
      <c r="L295" s="32" t="s">
        <v>588</v>
      </c>
      <c r="M295" s="221"/>
      <c r="N295" s="237"/>
      <c r="O295" s="222"/>
      <c r="P295" s="223"/>
    </row>
    <row r="296" spans="1:19" ht="12" hidden="1" customHeight="1" x14ac:dyDescent="0.2">
      <c r="A296" s="22"/>
      <c r="B296" s="16"/>
      <c r="C296" s="35"/>
      <c r="D296" s="16" t="s">
        <v>175</v>
      </c>
      <c r="E296" s="23"/>
      <c r="F296" s="85"/>
      <c r="G296" s="98"/>
      <c r="H296" s="86"/>
      <c r="I296" s="86"/>
      <c r="J296" s="35" t="s">
        <v>575</v>
      </c>
      <c r="K296" s="31" t="s">
        <v>589</v>
      </c>
      <c r="L296" s="32" t="s">
        <v>590</v>
      </c>
      <c r="M296" s="221"/>
      <c r="N296" s="237"/>
      <c r="O296" s="222"/>
      <c r="P296" s="223"/>
    </row>
    <row r="297" spans="1:19" ht="12" hidden="1" customHeight="1" x14ac:dyDescent="0.2">
      <c r="A297" s="22"/>
      <c r="B297" s="16"/>
      <c r="C297" s="35"/>
      <c r="D297" s="16"/>
      <c r="E297" s="23"/>
      <c r="F297" s="85"/>
      <c r="G297" s="98"/>
      <c r="H297" s="86"/>
      <c r="I297" s="86"/>
      <c r="J297" s="35" t="s">
        <v>575</v>
      </c>
      <c r="K297" s="17" t="s">
        <v>591</v>
      </c>
      <c r="L297" s="34" t="s">
        <v>592</v>
      </c>
      <c r="M297" s="221"/>
      <c r="N297" s="237"/>
      <c r="O297" s="222"/>
      <c r="P297" s="223"/>
    </row>
    <row r="298" spans="1:19" ht="12" hidden="1" customHeight="1" x14ac:dyDescent="0.2">
      <c r="A298" s="62" t="s">
        <v>175</v>
      </c>
      <c r="B298" s="16"/>
      <c r="C298" s="35"/>
      <c r="D298" s="16"/>
      <c r="E298" s="23"/>
      <c r="F298" s="85"/>
      <c r="G298" s="98"/>
      <c r="H298" s="86"/>
      <c r="I298" s="86"/>
      <c r="J298" s="35" t="s">
        <v>575</v>
      </c>
      <c r="K298" s="31" t="s">
        <v>593</v>
      </c>
      <c r="L298" s="32" t="s">
        <v>594</v>
      </c>
      <c r="M298" s="221"/>
      <c r="N298" s="237"/>
      <c r="O298" s="222"/>
      <c r="P298" s="223"/>
    </row>
    <row r="299" spans="1:19" ht="12" hidden="1" customHeight="1" x14ac:dyDescent="0.2">
      <c r="A299" s="22"/>
      <c r="B299" s="16"/>
      <c r="C299" s="35"/>
      <c r="D299" s="16"/>
      <c r="E299" s="23"/>
      <c r="F299" s="85"/>
      <c r="G299" s="98"/>
      <c r="H299" s="86"/>
      <c r="I299" s="86"/>
      <c r="J299" s="31"/>
      <c r="K299" s="31"/>
      <c r="L299" s="32"/>
      <c r="M299" s="221"/>
      <c r="N299" s="237"/>
      <c r="O299" s="222"/>
      <c r="P299" s="223"/>
    </row>
    <row r="300" spans="1:19" ht="12" hidden="1" customHeight="1" x14ac:dyDescent="0.2">
      <c r="A300" s="22"/>
      <c r="B300" s="16"/>
      <c r="C300" s="16"/>
      <c r="D300" s="16"/>
      <c r="E300" s="23"/>
      <c r="F300" s="85"/>
      <c r="G300" s="86"/>
      <c r="H300" s="86"/>
      <c r="I300" s="86"/>
      <c r="J300" s="31"/>
      <c r="K300" s="32"/>
      <c r="L300" s="16"/>
      <c r="M300" s="221"/>
      <c r="N300" s="222"/>
      <c r="O300" s="222"/>
      <c r="P300" s="223"/>
    </row>
    <row r="301" spans="1:19" ht="12" hidden="1" customHeight="1" thickBot="1" x14ac:dyDescent="0.25">
      <c r="A301" s="47"/>
      <c r="B301" s="48"/>
      <c r="C301" s="48"/>
      <c r="D301" s="48"/>
      <c r="E301" s="49"/>
      <c r="F301" s="97"/>
      <c r="G301" s="99"/>
      <c r="H301" s="100"/>
      <c r="I301" s="100"/>
      <c r="J301" s="50"/>
      <c r="K301" s="52"/>
      <c r="L301" s="63"/>
      <c r="M301" s="238"/>
      <c r="N301" s="239"/>
      <c r="O301" s="240"/>
      <c r="P301" s="241"/>
    </row>
    <row r="302" spans="1:19" ht="12" hidden="1" customHeight="1" x14ac:dyDescent="0.2">
      <c r="A302" s="22"/>
      <c r="B302" s="16"/>
      <c r="C302" s="16"/>
      <c r="D302" s="16"/>
      <c r="E302" s="23"/>
      <c r="F302" s="85"/>
      <c r="G302" s="98"/>
      <c r="H302" s="86"/>
      <c r="I302" s="113"/>
      <c r="J302" s="35"/>
      <c r="K302" s="31"/>
      <c r="L302" s="32"/>
      <c r="M302" s="221"/>
      <c r="N302" s="237"/>
      <c r="O302" s="222"/>
      <c r="P302" s="223"/>
    </row>
    <row r="303" spans="1:19" ht="12" hidden="1" customHeight="1" x14ac:dyDescent="0.2">
      <c r="A303" s="22"/>
      <c r="B303" s="16"/>
      <c r="C303" s="35" t="s">
        <v>595</v>
      </c>
      <c r="D303" s="16" t="s">
        <v>596</v>
      </c>
      <c r="E303" s="23"/>
      <c r="F303" s="85"/>
      <c r="G303" s="98"/>
      <c r="H303" s="86"/>
      <c r="I303" s="113"/>
      <c r="J303" s="33" t="s">
        <v>595</v>
      </c>
      <c r="K303" s="17" t="s">
        <v>597</v>
      </c>
      <c r="L303" s="34" t="s">
        <v>598</v>
      </c>
      <c r="M303" s="221"/>
      <c r="N303" s="237"/>
      <c r="O303" s="222"/>
      <c r="P303" s="223"/>
    </row>
    <row r="304" spans="1:19" ht="12" hidden="1" customHeight="1" x14ac:dyDescent="0.2">
      <c r="A304" s="22"/>
      <c r="B304" s="16"/>
      <c r="C304" s="16"/>
      <c r="D304" s="16"/>
      <c r="E304" s="23"/>
      <c r="F304" s="85"/>
      <c r="G304" s="98"/>
      <c r="H304" s="86"/>
      <c r="I304" s="113"/>
      <c r="J304" s="35" t="s">
        <v>595</v>
      </c>
      <c r="K304" s="31" t="s">
        <v>599</v>
      </c>
      <c r="L304" s="32" t="s">
        <v>600</v>
      </c>
      <c r="M304" s="221"/>
      <c r="N304" s="237"/>
      <c r="O304" s="222"/>
      <c r="P304" s="223"/>
    </row>
    <row r="305" spans="1:16" ht="12" hidden="1" customHeight="1" x14ac:dyDescent="0.2">
      <c r="A305" s="22"/>
      <c r="B305" s="16"/>
      <c r="C305" s="16"/>
      <c r="D305" s="16"/>
      <c r="E305" s="23"/>
      <c r="F305" s="85"/>
      <c r="G305" s="98"/>
      <c r="H305" s="86"/>
      <c r="I305" s="113"/>
      <c r="J305" s="35" t="s">
        <v>595</v>
      </c>
      <c r="K305" s="31" t="s">
        <v>601</v>
      </c>
      <c r="L305" s="32" t="s">
        <v>602</v>
      </c>
      <c r="M305" s="221"/>
      <c r="N305" s="237"/>
      <c r="O305" s="222"/>
      <c r="P305" s="223"/>
    </row>
    <row r="306" spans="1:16" ht="12" hidden="1" customHeight="1" x14ac:dyDescent="0.2">
      <c r="A306" s="22"/>
      <c r="B306" s="16"/>
      <c r="C306" s="16"/>
      <c r="D306" s="16"/>
      <c r="E306" s="23"/>
      <c r="F306" s="85"/>
      <c r="G306" s="98"/>
      <c r="H306" s="86"/>
      <c r="I306" s="113"/>
      <c r="J306" s="17"/>
      <c r="K306" s="17"/>
      <c r="L306" s="16"/>
      <c r="M306" s="221"/>
      <c r="N306" s="237"/>
      <c r="O306" s="222"/>
      <c r="P306" s="223"/>
    </row>
    <row r="307" spans="1:16" ht="12" hidden="1" customHeight="1" x14ac:dyDescent="0.2">
      <c r="A307" s="22"/>
      <c r="B307" s="16"/>
      <c r="C307" s="16"/>
      <c r="D307" s="27"/>
      <c r="E307" s="28"/>
      <c r="F307" s="85"/>
      <c r="G307" s="98"/>
      <c r="H307" s="86"/>
      <c r="I307" s="113"/>
      <c r="J307" s="31"/>
      <c r="K307" s="31"/>
      <c r="L307" s="32"/>
      <c r="M307" s="221"/>
      <c r="N307" s="237"/>
      <c r="O307" s="222"/>
      <c r="P307" s="223"/>
    </row>
    <row r="308" spans="1:16" ht="12" hidden="1" customHeight="1" x14ac:dyDescent="0.2">
      <c r="A308" s="26">
        <v>3</v>
      </c>
      <c r="B308" s="27" t="s">
        <v>603</v>
      </c>
      <c r="C308" s="16"/>
      <c r="D308" s="27"/>
      <c r="E308" s="28"/>
      <c r="F308" s="85"/>
      <c r="G308" s="98"/>
      <c r="H308" s="86"/>
      <c r="I308" s="113"/>
      <c r="J308" s="17">
        <v>3</v>
      </c>
      <c r="K308" s="17">
        <v>4</v>
      </c>
      <c r="L308" s="53" t="s">
        <v>604</v>
      </c>
      <c r="M308" s="221"/>
      <c r="N308" s="237"/>
      <c r="O308" s="222"/>
      <c r="P308" s="223"/>
    </row>
    <row r="309" spans="1:16" ht="12" hidden="1" customHeight="1" x14ac:dyDescent="0.2">
      <c r="A309" s="22"/>
      <c r="B309" s="27" t="s">
        <v>175</v>
      </c>
      <c r="C309" s="27"/>
      <c r="D309" s="16"/>
      <c r="E309" s="23"/>
      <c r="F309" s="85"/>
      <c r="G309" s="98"/>
      <c r="H309" s="86"/>
      <c r="I309" s="113"/>
      <c r="J309" s="31"/>
      <c r="K309" s="31"/>
      <c r="L309" s="32"/>
      <c r="M309" s="221"/>
      <c r="N309" s="237"/>
      <c r="O309" s="222"/>
      <c r="P309" s="223"/>
    </row>
    <row r="310" spans="1:16" ht="12" hidden="1" customHeight="1" x14ac:dyDescent="0.2">
      <c r="A310" s="22"/>
      <c r="B310" s="33" t="s">
        <v>605</v>
      </c>
      <c r="C310" s="64" t="s">
        <v>606</v>
      </c>
      <c r="D310" s="16"/>
      <c r="E310" s="65"/>
      <c r="F310" s="85"/>
      <c r="G310" s="98"/>
      <c r="H310" s="86"/>
      <c r="I310" s="113"/>
      <c r="J310" s="17" t="s">
        <v>605</v>
      </c>
      <c r="K310" s="17" t="s">
        <v>607</v>
      </c>
      <c r="L310" s="53" t="s">
        <v>608</v>
      </c>
      <c r="M310" s="221"/>
      <c r="N310" s="237"/>
      <c r="O310" s="222"/>
      <c r="P310" s="223"/>
    </row>
    <row r="311" spans="1:16" ht="12" hidden="1" customHeight="1" x14ac:dyDescent="0.2">
      <c r="A311" s="22"/>
      <c r="B311" s="66"/>
      <c r="C311" s="16"/>
      <c r="D311" s="16"/>
      <c r="E311" s="23"/>
      <c r="F311" s="85"/>
      <c r="G311" s="98"/>
      <c r="H311" s="86"/>
      <c r="I311" s="113"/>
      <c r="J311" s="31" t="s">
        <v>605</v>
      </c>
      <c r="K311" s="31" t="s">
        <v>609</v>
      </c>
      <c r="L311" s="32" t="s">
        <v>610</v>
      </c>
      <c r="M311" s="221"/>
      <c r="N311" s="237"/>
      <c r="O311" s="222"/>
      <c r="P311" s="223"/>
    </row>
    <row r="312" spans="1:16" ht="12" hidden="1" customHeight="1" x14ac:dyDescent="0.2">
      <c r="A312" s="22"/>
      <c r="B312" s="16"/>
      <c r="C312" s="16"/>
      <c r="D312" s="16"/>
      <c r="E312" s="23"/>
      <c r="F312" s="85"/>
      <c r="G312" s="98"/>
      <c r="H312" s="86"/>
      <c r="I312" s="113"/>
      <c r="J312" s="31" t="s">
        <v>605</v>
      </c>
      <c r="K312" s="31" t="s">
        <v>611</v>
      </c>
      <c r="L312" s="32" t="s">
        <v>612</v>
      </c>
      <c r="M312" s="221"/>
      <c r="N312" s="237"/>
      <c r="O312" s="222"/>
      <c r="P312" s="223"/>
    </row>
    <row r="313" spans="1:16" ht="12" hidden="1" customHeight="1" x14ac:dyDescent="0.2">
      <c r="A313" s="22"/>
      <c r="B313" s="66"/>
      <c r="C313" s="16"/>
      <c r="D313" s="16"/>
      <c r="E313" s="23"/>
      <c r="F313" s="85"/>
      <c r="G313" s="98"/>
      <c r="H313" s="86"/>
      <c r="I313" s="113"/>
      <c r="J313" s="31" t="s">
        <v>605</v>
      </c>
      <c r="K313" s="31" t="s">
        <v>613</v>
      </c>
      <c r="L313" s="32" t="s">
        <v>614</v>
      </c>
      <c r="M313" s="221"/>
      <c r="N313" s="237"/>
      <c r="O313" s="222"/>
      <c r="P313" s="223"/>
    </row>
    <row r="314" spans="1:16" ht="12" hidden="1" customHeight="1" x14ac:dyDescent="0.2">
      <c r="A314" s="22"/>
      <c r="B314" s="66"/>
      <c r="C314" s="16"/>
      <c r="D314" s="16"/>
      <c r="E314" s="23"/>
      <c r="F314" s="85"/>
      <c r="G314" s="98"/>
      <c r="H314" s="86"/>
      <c r="I314" s="113"/>
      <c r="J314" s="31" t="s">
        <v>605</v>
      </c>
      <c r="K314" s="31" t="s">
        <v>615</v>
      </c>
      <c r="L314" s="32" t="s">
        <v>616</v>
      </c>
      <c r="M314" s="221"/>
      <c r="N314" s="237"/>
      <c r="O314" s="222"/>
      <c r="P314" s="223"/>
    </row>
    <row r="315" spans="1:16" ht="12" hidden="1" customHeight="1" x14ac:dyDescent="0.2">
      <c r="A315" s="22"/>
      <c r="B315" s="66"/>
      <c r="C315" s="16"/>
      <c r="D315" s="16"/>
      <c r="E315" s="23"/>
      <c r="F315" s="85"/>
      <c r="G315" s="98"/>
      <c r="H315" s="86"/>
      <c r="I315" s="113"/>
      <c r="J315" s="31" t="s">
        <v>605</v>
      </c>
      <c r="K315" s="31" t="s">
        <v>617</v>
      </c>
      <c r="L315" s="32" t="s">
        <v>618</v>
      </c>
      <c r="M315" s="221"/>
      <c r="N315" s="237"/>
      <c r="O315" s="222"/>
      <c r="P315" s="223"/>
    </row>
    <row r="316" spans="1:16" ht="12" hidden="1" customHeight="1" x14ac:dyDescent="0.2">
      <c r="A316" s="22"/>
      <c r="B316" s="66"/>
      <c r="C316" s="16"/>
      <c r="D316" s="16"/>
      <c r="E316" s="23"/>
      <c r="F316" s="85"/>
      <c r="G316" s="98"/>
      <c r="H316" s="86"/>
      <c r="I316" s="113"/>
      <c r="J316" s="31" t="s">
        <v>605</v>
      </c>
      <c r="K316" s="31" t="s">
        <v>619</v>
      </c>
      <c r="L316" s="32" t="s">
        <v>620</v>
      </c>
      <c r="M316" s="221"/>
      <c r="N316" s="237"/>
      <c r="O316" s="222"/>
      <c r="P316" s="223"/>
    </row>
    <row r="317" spans="1:16" ht="12" hidden="1" customHeight="1" x14ac:dyDescent="0.2">
      <c r="A317" s="22"/>
      <c r="B317" s="66"/>
      <c r="C317" s="16"/>
      <c r="D317" s="16"/>
      <c r="E317" s="23"/>
      <c r="F317" s="85"/>
      <c r="G317" s="98"/>
      <c r="H317" s="86"/>
      <c r="I317" s="113"/>
      <c r="J317" s="31" t="s">
        <v>605</v>
      </c>
      <c r="K317" s="31" t="s">
        <v>621</v>
      </c>
      <c r="L317" s="32" t="s">
        <v>622</v>
      </c>
      <c r="M317" s="221"/>
      <c r="N317" s="237"/>
      <c r="O317" s="222"/>
      <c r="P317" s="223"/>
    </row>
    <row r="318" spans="1:16" ht="12" hidden="1" customHeight="1" x14ac:dyDescent="0.2">
      <c r="A318" s="22"/>
      <c r="B318" s="66"/>
      <c r="C318" s="16"/>
      <c r="D318" s="16"/>
      <c r="E318" s="23"/>
      <c r="F318" s="85"/>
      <c r="G318" s="98"/>
      <c r="H318" s="86"/>
      <c r="I318" s="113"/>
      <c r="J318" s="31" t="s">
        <v>605</v>
      </c>
      <c r="K318" s="31" t="s">
        <v>623</v>
      </c>
      <c r="L318" s="32" t="s">
        <v>624</v>
      </c>
      <c r="M318" s="221"/>
      <c r="N318" s="237"/>
      <c r="O318" s="222"/>
      <c r="P318" s="223"/>
    </row>
    <row r="319" spans="1:16" ht="12" hidden="1" customHeight="1" x14ac:dyDescent="0.2">
      <c r="A319" s="22"/>
      <c r="B319" s="66"/>
      <c r="C319" s="16"/>
      <c r="D319" s="27"/>
      <c r="E319" s="28"/>
      <c r="F319" s="85"/>
      <c r="G319" s="98"/>
      <c r="H319" s="86"/>
      <c r="I319" s="113"/>
      <c r="J319" s="31"/>
      <c r="K319" s="31"/>
      <c r="L319" s="16"/>
      <c r="M319" s="221"/>
      <c r="N319" s="237"/>
      <c r="O319" s="222"/>
      <c r="P319" s="223"/>
    </row>
    <row r="320" spans="1:16" ht="12" hidden="1" customHeight="1" x14ac:dyDescent="0.2">
      <c r="A320" s="22"/>
      <c r="B320" s="61" t="s">
        <v>625</v>
      </c>
      <c r="C320" s="27" t="s">
        <v>626</v>
      </c>
      <c r="D320" s="67"/>
      <c r="E320" s="23"/>
      <c r="F320" s="85"/>
      <c r="G320" s="98"/>
      <c r="H320" s="86"/>
      <c r="I320" s="113"/>
      <c r="J320" s="17" t="s">
        <v>625</v>
      </c>
      <c r="K320" s="17" t="s">
        <v>627</v>
      </c>
      <c r="L320" s="53" t="s">
        <v>626</v>
      </c>
      <c r="M320" s="221"/>
      <c r="N320" s="237"/>
      <c r="O320" s="222"/>
      <c r="P320" s="223"/>
    </row>
    <row r="321" spans="1:16" ht="12" hidden="1" customHeight="1" x14ac:dyDescent="0.2">
      <c r="A321" s="22"/>
      <c r="B321" s="16"/>
      <c r="C321" s="16"/>
      <c r="D321" s="16"/>
      <c r="E321" s="23"/>
      <c r="F321" s="85"/>
      <c r="G321" s="98"/>
      <c r="H321" s="86"/>
      <c r="I321" s="113"/>
      <c r="J321" s="31" t="s">
        <v>625</v>
      </c>
      <c r="K321" s="31" t="s">
        <v>628</v>
      </c>
      <c r="L321" s="32" t="s">
        <v>629</v>
      </c>
      <c r="M321" s="221"/>
      <c r="N321" s="237"/>
      <c r="O321" s="222"/>
      <c r="P321" s="223"/>
    </row>
    <row r="322" spans="1:16" ht="12" hidden="1" customHeight="1" x14ac:dyDescent="0.2">
      <c r="A322" s="22"/>
      <c r="B322" s="16"/>
      <c r="C322" s="16"/>
      <c r="D322" s="16"/>
      <c r="E322" s="23"/>
      <c r="F322" s="85"/>
      <c r="G322" s="98"/>
      <c r="H322" s="86"/>
      <c r="I322" s="113"/>
      <c r="J322" s="31" t="s">
        <v>625</v>
      </c>
      <c r="K322" s="31" t="s">
        <v>630</v>
      </c>
      <c r="L322" s="32" t="s">
        <v>631</v>
      </c>
      <c r="M322" s="221"/>
      <c r="N322" s="237"/>
      <c r="O322" s="222"/>
      <c r="P322" s="223"/>
    </row>
    <row r="323" spans="1:16" ht="12" hidden="1" customHeight="1" x14ac:dyDescent="0.2">
      <c r="A323" s="22"/>
      <c r="B323" s="16"/>
      <c r="C323" s="16"/>
      <c r="D323" s="16"/>
      <c r="E323" s="23"/>
      <c r="F323" s="85"/>
      <c r="G323" s="98"/>
      <c r="H323" s="86"/>
      <c r="I323" s="113"/>
      <c r="J323" s="31" t="s">
        <v>625</v>
      </c>
      <c r="K323" s="31" t="s">
        <v>632</v>
      </c>
      <c r="L323" s="32" t="s">
        <v>633</v>
      </c>
      <c r="M323" s="221"/>
      <c r="N323" s="237"/>
      <c r="O323" s="222"/>
      <c r="P323" s="223"/>
    </row>
    <row r="324" spans="1:16" ht="12" hidden="1" customHeight="1" x14ac:dyDescent="0.2">
      <c r="A324" s="22"/>
      <c r="B324" s="16"/>
      <c r="C324" s="16"/>
      <c r="D324" s="16"/>
      <c r="E324" s="23"/>
      <c r="F324" s="85"/>
      <c r="G324" s="98"/>
      <c r="H324" s="86"/>
      <c r="I324" s="113"/>
      <c r="J324" s="31" t="s">
        <v>625</v>
      </c>
      <c r="K324" s="31" t="s">
        <v>634</v>
      </c>
      <c r="L324" s="32" t="s">
        <v>635</v>
      </c>
      <c r="M324" s="221"/>
      <c r="N324" s="237"/>
      <c r="O324" s="222"/>
      <c r="P324" s="223"/>
    </row>
    <row r="325" spans="1:16" ht="12" hidden="1" customHeight="1" x14ac:dyDescent="0.2">
      <c r="A325" s="22"/>
      <c r="B325" s="16"/>
      <c r="C325" s="16"/>
      <c r="D325" s="16"/>
      <c r="E325" s="23"/>
      <c r="F325" s="85"/>
      <c r="G325" s="98"/>
      <c r="H325" s="86"/>
      <c r="I325" s="113"/>
      <c r="J325" s="31" t="s">
        <v>625</v>
      </c>
      <c r="K325" s="31" t="s">
        <v>636</v>
      </c>
      <c r="L325" s="32" t="s">
        <v>637</v>
      </c>
      <c r="M325" s="221"/>
      <c r="N325" s="237"/>
      <c r="O325" s="222"/>
      <c r="P325" s="223"/>
    </row>
    <row r="326" spans="1:16" ht="12" hidden="1" customHeight="1" x14ac:dyDescent="0.2">
      <c r="A326" s="22"/>
      <c r="B326" s="16"/>
      <c r="C326" s="16"/>
      <c r="D326" s="16"/>
      <c r="E326" s="23"/>
      <c r="F326" s="85"/>
      <c r="G326" s="98"/>
      <c r="H326" s="86"/>
      <c r="I326" s="113"/>
      <c r="J326" s="31" t="s">
        <v>625</v>
      </c>
      <c r="K326" s="31" t="s">
        <v>638</v>
      </c>
      <c r="L326" s="32" t="s">
        <v>639</v>
      </c>
      <c r="M326" s="221"/>
      <c r="N326" s="237"/>
      <c r="O326" s="222"/>
      <c r="P326" s="223"/>
    </row>
    <row r="327" spans="1:16" ht="12" hidden="1" customHeight="1" x14ac:dyDescent="0.2">
      <c r="A327" s="22"/>
      <c r="B327" s="16"/>
      <c r="C327" s="16"/>
      <c r="D327" s="16"/>
      <c r="E327" s="23"/>
      <c r="F327" s="85"/>
      <c r="G327" s="98"/>
      <c r="H327" s="86"/>
      <c r="I327" s="113"/>
      <c r="J327" s="31" t="s">
        <v>625</v>
      </c>
      <c r="K327" s="31" t="s">
        <v>640</v>
      </c>
      <c r="L327" s="32" t="s">
        <v>641</v>
      </c>
      <c r="M327" s="221"/>
      <c r="N327" s="237"/>
      <c r="O327" s="222"/>
      <c r="P327" s="223"/>
    </row>
    <row r="328" spans="1:16" ht="12" hidden="1" customHeight="1" x14ac:dyDescent="0.2">
      <c r="A328" s="22"/>
      <c r="B328" s="16"/>
      <c r="C328" s="16"/>
      <c r="D328" s="16"/>
      <c r="E328" s="23"/>
      <c r="F328" s="85"/>
      <c r="G328" s="98"/>
      <c r="H328" s="86"/>
      <c r="I328" s="113"/>
      <c r="J328" s="31" t="s">
        <v>625</v>
      </c>
      <c r="K328" s="31" t="s">
        <v>642</v>
      </c>
      <c r="L328" s="32" t="s">
        <v>643</v>
      </c>
      <c r="M328" s="221"/>
      <c r="N328" s="237"/>
      <c r="O328" s="222"/>
      <c r="P328" s="223"/>
    </row>
    <row r="329" spans="1:16" ht="12" hidden="1" customHeight="1" x14ac:dyDescent="0.2">
      <c r="A329" s="22"/>
      <c r="B329" s="16"/>
      <c r="C329" s="16"/>
      <c r="D329" s="16"/>
      <c r="E329" s="23"/>
      <c r="F329" s="85"/>
      <c r="G329" s="98"/>
      <c r="H329" s="86"/>
      <c r="I329" s="113"/>
      <c r="J329" s="31"/>
      <c r="K329" s="31"/>
      <c r="L329" s="16"/>
      <c r="M329" s="221"/>
      <c r="N329" s="237"/>
      <c r="O329" s="222"/>
      <c r="P329" s="223"/>
    </row>
    <row r="330" spans="1:16" ht="12" hidden="1" customHeight="1" x14ac:dyDescent="0.2">
      <c r="A330" s="22"/>
      <c r="B330" s="33" t="s">
        <v>644</v>
      </c>
      <c r="C330" s="27" t="s">
        <v>645</v>
      </c>
      <c r="D330" s="16"/>
      <c r="E330" s="23"/>
      <c r="F330" s="85"/>
      <c r="G330" s="98"/>
      <c r="H330" s="86"/>
      <c r="I330" s="113"/>
      <c r="J330" s="17" t="s">
        <v>644</v>
      </c>
      <c r="K330" s="17">
        <v>8</v>
      </c>
      <c r="L330" s="53" t="s">
        <v>646</v>
      </c>
      <c r="M330" s="221"/>
      <c r="N330" s="237"/>
      <c r="O330" s="222"/>
      <c r="P330" s="223"/>
    </row>
    <row r="331" spans="1:16" ht="12" hidden="1" customHeight="1" x14ac:dyDescent="0.2">
      <c r="A331" s="22"/>
      <c r="B331" s="16"/>
      <c r="C331" s="16"/>
      <c r="D331" s="16"/>
      <c r="E331" s="23"/>
      <c r="F331" s="85"/>
      <c r="G331" s="98"/>
      <c r="H331" s="86"/>
      <c r="I331" s="113"/>
      <c r="J331" s="31"/>
      <c r="K331" s="31"/>
      <c r="L331" s="16"/>
      <c r="M331" s="221"/>
      <c r="N331" s="237"/>
      <c r="O331" s="222"/>
      <c r="P331" s="223"/>
    </row>
    <row r="332" spans="1:16" ht="12" hidden="1" customHeight="1" x14ac:dyDescent="0.2">
      <c r="A332" s="22"/>
      <c r="B332" s="16"/>
      <c r="C332" s="35" t="s">
        <v>647</v>
      </c>
      <c r="D332" s="16" t="s">
        <v>648</v>
      </c>
      <c r="E332" s="23"/>
      <c r="F332" s="85"/>
      <c r="G332" s="98"/>
      <c r="H332" s="86"/>
      <c r="I332" s="113"/>
      <c r="J332" s="31"/>
      <c r="K332" s="16"/>
      <c r="L332" s="16"/>
      <c r="M332" s="221"/>
      <c r="N332" s="237"/>
      <c r="O332" s="222"/>
      <c r="P332" s="223"/>
    </row>
    <row r="333" spans="1:16" ht="12" hidden="1" customHeight="1" x14ac:dyDescent="0.2">
      <c r="A333" s="22"/>
      <c r="B333" s="16"/>
      <c r="C333" s="16"/>
      <c r="D333" s="16"/>
      <c r="E333" s="23"/>
      <c r="F333" s="85"/>
      <c r="G333" s="98"/>
      <c r="H333" s="86"/>
      <c r="I333" s="113"/>
      <c r="J333" s="17" t="s">
        <v>647</v>
      </c>
      <c r="K333" s="17" t="s">
        <v>649</v>
      </c>
      <c r="L333" s="53" t="s">
        <v>650</v>
      </c>
      <c r="M333" s="221"/>
      <c r="N333" s="237"/>
      <c r="O333" s="222"/>
      <c r="P333" s="223"/>
    </row>
    <row r="334" spans="1:16" ht="12" hidden="1" customHeight="1" x14ac:dyDescent="0.2">
      <c r="A334" s="22"/>
      <c r="B334" s="16"/>
      <c r="C334" s="16"/>
      <c r="D334" s="16"/>
      <c r="E334" s="23"/>
      <c r="F334" s="85"/>
      <c r="G334" s="98"/>
      <c r="H334" s="86"/>
      <c r="I334" s="113"/>
      <c r="J334" s="31" t="s">
        <v>647</v>
      </c>
      <c r="K334" s="31" t="s">
        <v>651</v>
      </c>
      <c r="L334" s="32" t="s">
        <v>652</v>
      </c>
      <c r="M334" s="221"/>
      <c r="N334" s="237"/>
      <c r="O334" s="222"/>
      <c r="P334" s="223"/>
    </row>
    <row r="335" spans="1:16" ht="12" hidden="1" customHeight="1" x14ac:dyDescent="0.2">
      <c r="A335" s="22"/>
      <c r="B335" s="16"/>
      <c r="C335" s="16"/>
      <c r="D335" s="16"/>
      <c r="E335" s="23"/>
      <c r="F335" s="85"/>
      <c r="G335" s="98"/>
      <c r="H335" s="86"/>
      <c r="I335" s="113"/>
      <c r="J335" s="31" t="s">
        <v>647</v>
      </c>
      <c r="K335" s="31" t="s">
        <v>653</v>
      </c>
      <c r="L335" s="32" t="s">
        <v>654</v>
      </c>
      <c r="M335" s="221"/>
      <c r="N335" s="237"/>
      <c r="O335" s="222"/>
      <c r="P335" s="223"/>
    </row>
    <row r="336" spans="1:16" ht="12" hidden="1" customHeight="1" x14ac:dyDescent="0.2">
      <c r="A336" s="22"/>
      <c r="B336" s="16"/>
      <c r="C336" s="16"/>
      <c r="D336" s="16"/>
      <c r="E336" s="23"/>
      <c r="F336" s="85"/>
      <c r="G336" s="98"/>
      <c r="H336" s="86"/>
      <c r="I336" s="113"/>
      <c r="J336" s="17" t="s">
        <v>647</v>
      </c>
      <c r="K336" s="17" t="s">
        <v>655</v>
      </c>
      <c r="L336" s="53" t="s">
        <v>656</v>
      </c>
      <c r="M336" s="221"/>
      <c r="N336" s="237"/>
      <c r="O336" s="222"/>
      <c r="P336" s="223"/>
    </row>
    <row r="337" spans="1:16" ht="12" hidden="1" customHeight="1" x14ac:dyDescent="0.2">
      <c r="A337" s="22"/>
      <c r="B337" s="16"/>
      <c r="C337" s="16"/>
      <c r="D337" s="16"/>
      <c r="E337" s="23"/>
      <c r="F337" s="85"/>
      <c r="G337" s="98"/>
      <c r="H337" s="86"/>
      <c r="I337" s="113"/>
      <c r="J337" s="31" t="s">
        <v>647</v>
      </c>
      <c r="K337" s="31" t="s">
        <v>657</v>
      </c>
      <c r="L337" s="32" t="s">
        <v>658</v>
      </c>
      <c r="M337" s="221"/>
      <c r="N337" s="237"/>
      <c r="O337" s="222"/>
      <c r="P337" s="223"/>
    </row>
    <row r="338" spans="1:16" ht="12" hidden="1" customHeight="1" x14ac:dyDescent="0.2">
      <c r="A338" s="22"/>
      <c r="B338" s="16"/>
      <c r="C338" s="16"/>
      <c r="D338" s="16"/>
      <c r="E338" s="23"/>
      <c r="F338" s="85"/>
      <c r="G338" s="98"/>
      <c r="H338" s="86"/>
      <c r="I338" s="113"/>
      <c r="J338" s="31" t="s">
        <v>647</v>
      </c>
      <c r="K338" s="31" t="s">
        <v>659</v>
      </c>
      <c r="L338" s="32" t="s">
        <v>660</v>
      </c>
      <c r="M338" s="221"/>
      <c r="N338" s="237"/>
      <c r="O338" s="222"/>
      <c r="P338" s="223"/>
    </row>
    <row r="339" spans="1:16" ht="12" hidden="1" customHeight="1" x14ac:dyDescent="0.2">
      <c r="A339" s="22"/>
      <c r="B339" s="16"/>
      <c r="C339" s="16"/>
      <c r="D339" s="16"/>
      <c r="E339" s="23"/>
      <c r="F339" s="85"/>
      <c r="G339" s="98"/>
      <c r="H339" s="86"/>
      <c r="I339" s="113"/>
      <c r="J339" s="31" t="s">
        <v>647</v>
      </c>
      <c r="K339" s="31" t="s">
        <v>661</v>
      </c>
      <c r="L339" s="32" t="s">
        <v>662</v>
      </c>
      <c r="M339" s="221"/>
      <c r="N339" s="237"/>
      <c r="O339" s="222"/>
      <c r="P339" s="223"/>
    </row>
    <row r="340" spans="1:16" ht="12" hidden="1" customHeight="1" x14ac:dyDescent="0.2">
      <c r="A340" s="22"/>
      <c r="B340" s="16"/>
      <c r="C340" s="16"/>
      <c r="D340" s="16"/>
      <c r="E340" s="23"/>
      <c r="F340" s="85"/>
      <c r="G340" s="98"/>
      <c r="H340" s="86"/>
      <c r="I340" s="113"/>
      <c r="J340" s="31" t="s">
        <v>647</v>
      </c>
      <c r="K340" s="31" t="s">
        <v>663</v>
      </c>
      <c r="L340" s="32" t="s">
        <v>664</v>
      </c>
      <c r="M340" s="221"/>
      <c r="N340" s="237"/>
      <c r="O340" s="222"/>
      <c r="P340" s="223"/>
    </row>
    <row r="341" spans="1:16" ht="12" hidden="1" customHeight="1" x14ac:dyDescent="0.2">
      <c r="A341" s="22"/>
      <c r="B341" s="16"/>
      <c r="C341" s="16"/>
      <c r="D341" s="16"/>
      <c r="E341" s="23"/>
      <c r="F341" s="85"/>
      <c r="G341" s="98"/>
      <c r="H341" s="86"/>
      <c r="I341" s="113"/>
      <c r="J341" s="31" t="s">
        <v>647</v>
      </c>
      <c r="K341" s="31" t="s">
        <v>665</v>
      </c>
      <c r="L341" s="32" t="s">
        <v>666</v>
      </c>
      <c r="M341" s="221"/>
      <c r="N341" s="237"/>
      <c r="O341" s="222"/>
      <c r="P341" s="223"/>
    </row>
    <row r="342" spans="1:16" ht="12" hidden="1" customHeight="1" x14ac:dyDescent="0.2">
      <c r="A342" s="22"/>
      <c r="B342" s="16"/>
      <c r="C342" s="16"/>
      <c r="D342" s="16"/>
      <c r="E342" s="23"/>
      <c r="F342" s="85"/>
      <c r="G342" s="98"/>
      <c r="H342" s="86"/>
      <c r="I342" s="113"/>
      <c r="J342" s="31" t="s">
        <v>647</v>
      </c>
      <c r="K342" s="31" t="s">
        <v>667</v>
      </c>
      <c r="L342" s="32" t="s">
        <v>668</v>
      </c>
      <c r="M342" s="221"/>
      <c r="N342" s="237"/>
      <c r="O342" s="222"/>
      <c r="P342" s="223"/>
    </row>
    <row r="343" spans="1:16" ht="12" hidden="1" customHeight="1" x14ac:dyDescent="0.2">
      <c r="A343" s="22"/>
      <c r="B343" s="16"/>
      <c r="C343" s="16"/>
      <c r="D343" s="16"/>
      <c r="E343" s="23"/>
      <c r="F343" s="85"/>
      <c r="G343" s="98"/>
      <c r="H343" s="86"/>
      <c r="I343" s="113"/>
      <c r="J343" s="31" t="s">
        <v>647</v>
      </c>
      <c r="K343" s="31" t="s">
        <v>669</v>
      </c>
      <c r="L343" s="32" t="s">
        <v>670</v>
      </c>
      <c r="M343" s="221"/>
      <c r="N343" s="237"/>
      <c r="O343" s="222"/>
      <c r="P343" s="223"/>
    </row>
    <row r="344" spans="1:16" ht="12" hidden="1" customHeight="1" x14ac:dyDescent="0.2">
      <c r="A344" s="22"/>
      <c r="B344" s="16"/>
      <c r="C344" s="16"/>
      <c r="D344" s="16"/>
      <c r="E344" s="23"/>
      <c r="F344" s="114"/>
      <c r="G344" s="98"/>
      <c r="H344" s="86"/>
      <c r="I344" s="113"/>
      <c r="J344" s="68" t="s">
        <v>647</v>
      </c>
      <c r="K344" s="68" t="s">
        <v>671</v>
      </c>
      <c r="L344" s="69" t="s">
        <v>672</v>
      </c>
      <c r="M344" s="257"/>
      <c r="N344" s="237"/>
      <c r="O344" s="222"/>
      <c r="P344" s="223"/>
    </row>
    <row r="345" spans="1:16" ht="12" hidden="1" customHeight="1" x14ac:dyDescent="0.2">
      <c r="A345" s="22"/>
      <c r="B345" s="16"/>
      <c r="C345" s="16"/>
      <c r="D345" s="16"/>
      <c r="E345" s="23"/>
      <c r="F345" s="85"/>
      <c r="G345" s="98"/>
      <c r="H345" s="86"/>
      <c r="I345" s="113"/>
      <c r="J345" s="70" t="s">
        <v>647</v>
      </c>
      <c r="K345" s="70" t="s">
        <v>673</v>
      </c>
      <c r="L345" s="71" t="s">
        <v>674</v>
      </c>
      <c r="M345" s="221"/>
      <c r="N345" s="237"/>
      <c r="O345" s="222"/>
      <c r="P345" s="223"/>
    </row>
    <row r="346" spans="1:16" ht="12" hidden="1" customHeight="1" x14ac:dyDescent="0.2">
      <c r="A346" s="22"/>
      <c r="B346" s="16"/>
      <c r="C346" s="16"/>
      <c r="D346" s="16"/>
      <c r="E346" s="23"/>
      <c r="F346" s="85"/>
      <c r="G346" s="98"/>
      <c r="H346" s="86"/>
      <c r="I346" s="113"/>
      <c r="J346" s="31"/>
      <c r="K346" s="31"/>
      <c r="L346" s="32"/>
      <c r="M346" s="221"/>
      <c r="N346" s="237"/>
      <c r="O346" s="222"/>
      <c r="P346" s="223"/>
    </row>
    <row r="347" spans="1:16" ht="12" hidden="1" customHeight="1" x14ac:dyDescent="0.2">
      <c r="A347" s="22"/>
      <c r="B347" s="16"/>
      <c r="C347" s="35" t="s">
        <v>675</v>
      </c>
      <c r="D347" s="16" t="s">
        <v>676</v>
      </c>
      <c r="E347" s="23"/>
      <c r="F347" s="85"/>
      <c r="G347" s="98"/>
      <c r="H347" s="86"/>
      <c r="I347" s="113"/>
      <c r="J347" s="31"/>
      <c r="K347" s="31"/>
      <c r="L347" s="16"/>
      <c r="M347" s="221"/>
      <c r="N347" s="237"/>
      <c r="O347" s="222"/>
      <c r="P347" s="223"/>
    </row>
    <row r="348" spans="1:16" ht="12" hidden="1" customHeight="1" x14ac:dyDescent="0.2">
      <c r="A348" s="22"/>
      <c r="B348" s="16"/>
      <c r="C348" s="16"/>
      <c r="D348" s="16"/>
      <c r="E348" s="23"/>
      <c r="F348" s="85"/>
      <c r="G348" s="98"/>
      <c r="H348" s="86"/>
      <c r="I348" s="113"/>
      <c r="J348" s="17" t="s">
        <v>675</v>
      </c>
      <c r="K348" s="17" t="s">
        <v>649</v>
      </c>
      <c r="L348" s="53" t="s">
        <v>650</v>
      </c>
      <c r="M348" s="221"/>
      <c r="N348" s="237"/>
      <c r="O348" s="222"/>
      <c r="P348" s="223"/>
    </row>
    <row r="349" spans="1:16" ht="12" hidden="1" customHeight="1" x14ac:dyDescent="0.2">
      <c r="A349" s="22"/>
      <c r="B349" s="16"/>
      <c r="C349" s="16"/>
      <c r="D349" s="16"/>
      <c r="E349" s="23"/>
      <c r="F349" s="85"/>
      <c r="G349" s="98"/>
      <c r="H349" s="86"/>
      <c r="I349" s="113"/>
      <c r="J349" s="31" t="s">
        <v>675</v>
      </c>
      <c r="K349" s="31" t="s">
        <v>677</v>
      </c>
      <c r="L349" s="32" t="s">
        <v>678</v>
      </c>
      <c r="M349" s="221"/>
      <c r="N349" s="237"/>
      <c r="O349" s="222"/>
      <c r="P349" s="223"/>
    </row>
    <row r="350" spans="1:16" ht="12" hidden="1" customHeight="1" x14ac:dyDescent="0.2">
      <c r="A350" s="22"/>
      <c r="B350" s="16"/>
      <c r="C350" s="16"/>
      <c r="D350" s="16"/>
      <c r="E350" s="23"/>
      <c r="F350" s="85"/>
      <c r="G350" s="98"/>
      <c r="H350" s="86"/>
      <c r="I350" s="113"/>
      <c r="J350" s="31" t="s">
        <v>675</v>
      </c>
      <c r="K350" s="31" t="s">
        <v>679</v>
      </c>
      <c r="L350" s="32" t="s">
        <v>680</v>
      </c>
      <c r="M350" s="221"/>
      <c r="N350" s="237"/>
      <c r="O350" s="222"/>
      <c r="P350" s="223"/>
    </row>
    <row r="351" spans="1:16" ht="12" hidden="1" customHeight="1" x14ac:dyDescent="0.2">
      <c r="A351" s="22"/>
      <c r="B351" s="16"/>
      <c r="C351" s="16"/>
      <c r="D351" s="16"/>
      <c r="E351" s="23"/>
      <c r="F351" s="85"/>
      <c r="G351" s="98"/>
      <c r="H351" s="86"/>
      <c r="I351" s="113"/>
      <c r="J351" s="17" t="s">
        <v>675</v>
      </c>
      <c r="K351" s="17" t="s">
        <v>655</v>
      </c>
      <c r="L351" s="53" t="s">
        <v>656</v>
      </c>
      <c r="M351" s="221"/>
      <c r="N351" s="237"/>
      <c r="O351" s="222"/>
      <c r="P351" s="223"/>
    </row>
    <row r="352" spans="1:16" ht="12" hidden="1" customHeight="1" x14ac:dyDescent="0.2">
      <c r="A352" s="22"/>
      <c r="B352" s="16"/>
      <c r="C352" s="16"/>
      <c r="D352" s="16"/>
      <c r="E352" s="23"/>
      <c r="F352" s="85"/>
      <c r="G352" s="98"/>
      <c r="H352" s="86"/>
      <c r="I352" s="113"/>
      <c r="J352" s="31" t="s">
        <v>675</v>
      </c>
      <c r="K352" s="31" t="s">
        <v>681</v>
      </c>
      <c r="L352" s="32" t="s">
        <v>682</v>
      </c>
      <c r="M352" s="221"/>
      <c r="N352" s="237"/>
      <c r="O352" s="222"/>
      <c r="P352" s="223"/>
    </row>
    <row r="353" spans="1:19" ht="12" hidden="1" customHeight="1" x14ac:dyDescent="0.2">
      <c r="A353" s="22"/>
      <c r="B353" s="16"/>
      <c r="C353" s="16"/>
      <c r="D353" s="16"/>
      <c r="E353" s="23"/>
      <c r="F353" s="85"/>
      <c r="G353" s="98"/>
      <c r="H353" s="86"/>
      <c r="I353" s="113"/>
      <c r="J353" s="31"/>
      <c r="K353" s="31"/>
      <c r="L353" s="16"/>
      <c r="M353" s="221"/>
      <c r="N353" s="237"/>
      <c r="O353" s="222"/>
      <c r="P353" s="223"/>
    </row>
    <row r="354" spans="1:19" ht="12" hidden="1" customHeight="1" x14ac:dyDescent="0.2">
      <c r="A354" s="22"/>
      <c r="B354" s="33" t="s">
        <v>683</v>
      </c>
      <c r="C354" s="27" t="s">
        <v>684</v>
      </c>
      <c r="D354" s="27"/>
      <c r="E354" s="57"/>
      <c r="F354" s="85"/>
      <c r="G354" s="98"/>
      <c r="H354" s="86"/>
      <c r="I354" s="113"/>
      <c r="J354" s="17" t="s">
        <v>683</v>
      </c>
      <c r="K354" s="17" t="s">
        <v>685</v>
      </c>
      <c r="L354" s="53" t="s">
        <v>684</v>
      </c>
      <c r="M354" s="221"/>
      <c r="N354" s="237"/>
      <c r="O354" s="222"/>
      <c r="P354" s="223"/>
    </row>
    <row r="355" spans="1:19" ht="12" hidden="1" customHeight="1" x14ac:dyDescent="0.2">
      <c r="A355" s="22"/>
      <c r="B355" s="16"/>
      <c r="C355" s="16"/>
      <c r="D355" s="16"/>
      <c r="E355" s="23"/>
      <c r="F355" s="85"/>
      <c r="G355" s="98"/>
      <c r="H355" s="86"/>
      <c r="I355" s="113"/>
      <c r="J355" s="31" t="s">
        <v>683</v>
      </c>
      <c r="K355" s="31" t="s">
        <v>686</v>
      </c>
      <c r="L355" s="32" t="s">
        <v>687</v>
      </c>
      <c r="M355" s="221"/>
      <c r="N355" s="237"/>
      <c r="O355" s="222"/>
      <c r="P355" s="223"/>
    </row>
    <row r="356" spans="1:19" ht="12" hidden="1" customHeight="1" x14ac:dyDescent="0.2">
      <c r="A356" s="22"/>
      <c r="B356" s="16"/>
      <c r="C356" s="16"/>
      <c r="D356" s="16"/>
      <c r="E356" s="23" t="s">
        <v>175</v>
      </c>
      <c r="F356" s="85"/>
      <c r="G356" s="98"/>
      <c r="H356" s="86"/>
      <c r="I356" s="113"/>
      <c r="J356" s="31" t="s">
        <v>683</v>
      </c>
      <c r="K356" s="31" t="s">
        <v>688</v>
      </c>
      <c r="L356" s="32" t="s">
        <v>689</v>
      </c>
      <c r="M356" s="221"/>
      <c r="N356" s="237"/>
      <c r="O356" s="222"/>
      <c r="P356" s="223"/>
    </row>
    <row r="357" spans="1:19" ht="12" hidden="1" customHeight="1" x14ac:dyDescent="0.2">
      <c r="A357" s="22"/>
      <c r="B357" s="16"/>
      <c r="C357" s="16"/>
      <c r="D357" s="16"/>
      <c r="E357" s="23"/>
      <c r="F357" s="85"/>
      <c r="G357" s="98"/>
      <c r="H357" s="86"/>
      <c r="I357" s="113"/>
      <c r="J357" s="31"/>
      <c r="K357" s="31"/>
      <c r="L357" s="32"/>
      <c r="M357" s="221"/>
      <c r="N357" s="237"/>
      <c r="O357" s="222"/>
      <c r="P357" s="223"/>
      <c r="S357" s="21">
        <v>290</v>
      </c>
    </row>
    <row r="358" spans="1:19" ht="12" hidden="1" customHeight="1" x14ac:dyDescent="0.2">
      <c r="A358" s="22"/>
      <c r="B358" s="16"/>
      <c r="C358" s="16"/>
      <c r="D358" s="29"/>
      <c r="E358" s="28"/>
      <c r="F358" s="85"/>
      <c r="G358" s="98"/>
      <c r="H358" s="86"/>
      <c r="I358" s="113"/>
      <c r="J358" s="31" t="s">
        <v>175</v>
      </c>
      <c r="K358" s="17">
        <v>9</v>
      </c>
      <c r="L358" s="53" t="s">
        <v>386</v>
      </c>
      <c r="M358" s="221"/>
      <c r="N358" s="237"/>
      <c r="O358" s="222"/>
      <c r="P358" s="223"/>
    </row>
    <row r="359" spans="1:19" ht="12" hidden="1" customHeight="1" x14ac:dyDescent="0.2">
      <c r="A359" s="62">
        <v>4</v>
      </c>
      <c r="B359" s="29" t="s">
        <v>690</v>
      </c>
      <c r="C359" s="16"/>
      <c r="D359" s="16"/>
      <c r="E359" s="23"/>
      <c r="F359" s="85"/>
      <c r="G359" s="98"/>
      <c r="H359" s="86"/>
      <c r="I359" s="113"/>
      <c r="J359" s="31" t="s">
        <v>175</v>
      </c>
      <c r="K359" s="17" t="s">
        <v>691</v>
      </c>
      <c r="L359" s="53" t="s">
        <v>692</v>
      </c>
      <c r="M359" s="221"/>
      <c r="N359" s="237"/>
      <c r="O359" s="222"/>
      <c r="P359" s="223"/>
    </row>
    <row r="360" spans="1:19" ht="12" hidden="1" customHeight="1" x14ac:dyDescent="0.2">
      <c r="A360" s="22"/>
      <c r="B360" s="16"/>
      <c r="C360" s="16"/>
      <c r="D360" s="16"/>
      <c r="E360" s="23"/>
      <c r="F360" s="85"/>
      <c r="G360" s="98"/>
      <c r="H360" s="86"/>
      <c r="I360" s="113"/>
      <c r="J360" s="31">
        <v>4</v>
      </c>
      <c r="K360" s="31" t="s">
        <v>693</v>
      </c>
      <c r="L360" s="32" t="s">
        <v>694</v>
      </c>
      <c r="M360" s="221"/>
      <c r="N360" s="237"/>
      <c r="O360" s="222"/>
      <c r="P360" s="223"/>
    </row>
    <row r="361" spans="1:19" ht="12" hidden="1" customHeight="1" x14ac:dyDescent="0.2">
      <c r="A361" s="22"/>
      <c r="B361" s="16"/>
      <c r="C361" s="16"/>
      <c r="D361" s="16"/>
      <c r="E361" s="23"/>
      <c r="F361" s="85"/>
      <c r="G361" s="98"/>
      <c r="H361" s="86"/>
      <c r="I361" s="113"/>
      <c r="J361" s="31">
        <v>4</v>
      </c>
      <c r="K361" s="31" t="s">
        <v>695</v>
      </c>
      <c r="L361" s="32" t="s">
        <v>696</v>
      </c>
      <c r="M361" s="221"/>
      <c r="N361" s="237"/>
      <c r="O361" s="222"/>
      <c r="P361" s="223"/>
    </row>
    <row r="362" spans="1:19" ht="12" customHeight="1" thickBot="1" x14ac:dyDescent="0.25">
      <c r="A362" s="22"/>
      <c r="B362" s="16"/>
      <c r="C362" s="16"/>
      <c r="D362" s="16"/>
      <c r="E362" s="23"/>
      <c r="F362" s="85"/>
      <c r="G362" s="98"/>
      <c r="H362" s="86"/>
      <c r="I362" s="113"/>
      <c r="J362" s="35"/>
      <c r="K362" s="16"/>
      <c r="L362" s="16"/>
      <c r="M362" s="221"/>
      <c r="N362" s="237"/>
      <c r="O362" s="222"/>
      <c r="P362" s="223"/>
    </row>
    <row r="363" spans="1:19" s="43" customFormat="1" ht="21.75" customHeight="1" thickBot="1" x14ac:dyDescent="0.3">
      <c r="A363" s="528"/>
      <c r="B363" s="601" t="s">
        <v>697</v>
      </c>
      <c r="C363" s="601"/>
      <c r="D363" s="601"/>
      <c r="E363" s="602"/>
      <c r="F363" s="529">
        <f>SUM(G363:I363)</f>
        <v>309626220.14999998</v>
      </c>
      <c r="G363" s="530">
        <f>+G8+G239</f>
        <v>163429242.14999998</v>
      </c>
      <c r="H363" s="529">
        <f>+H8+H239</f>
        <v>146196978</v>
      </c>
      <c r="I363" s="529">
        <f>+I8+I239</f>
        <v>0</v>
      </c>
      <c r="J363" s="531"/>
      <c r="K363" s="531"/>
      <c r="L363" s="532" t="s">
        <v>697</v>
      </c>
      <c r="M363" s="533">
        <f>+M12+M50+M113+M155+M162+M196+M240+M279+M308+M330+M358</f>
        <v>309626220.14999998</v>
      </c>
      <c r="N363" s="534">
        <f>+N12+N50+N113+N155+N162+N196+N240+N279+N308+N330+N358</f>
        <v>163429242.14999998</v>
      </c>
      <c r="O363" s="534">
        <f>+O12+O50+O113+O155+O162+O196+O240+O279+O308+O330+O358</f>
        <v>146196978</v>
      </c>
      <c r="P363" s="258">
        <f>+P12+P50+P113+P155+P162+P196+P240+P279+P308+P330+P358</f>
        <v>0</v>
      </c>
      <c r="Q363" s="233"/>
    </row>
    <row r="365" spans="1:19" ht="11.25" x14ac:dyDescent="0.2">
      <c r="G365" s="115"/>
      <c r="H365" s="115"/>
      <c r="I365" s="115"/>
    </row>
    <row r="366" spans="1:19" s="25" customFormat="1" ht="12.75" x14ac:dyDescent="0.2">
      <c r="B366" s="72"/>
      <c r="C366" s="73" t="s">
        <v>698</v>
      </c>
      <c r="D366" s="73"/>
      <c r="E366" s="73"/>
      <c r="F366" s="117"/>
      <c r="G366" s="118"/>
      <c r="H366" s="118"/>
      <c r="I366" s="111"/>
      <c r="J366" s="24"/>
      <c r="K366" s="73"/>
      <c r="M366" s="260"/>
      <c r="N366" s="260"/>
      <c r="O366" s="260"/>
      <c r="P366" s="260"/>
      <c r="Q366" s="177"/>
    </row>
    <row r="367" spans="1:19" ht="12" customHeight="1" x14ac:dyDescent="0.2">
      <c r="B367" s="600"/>
      <c r="C367" s="600"/>
      <c r="D367" s="600"/>
      <c r="E367" s="600"/>
      <c r="F367" s="600"/>
      <c r="G367" s="600"/>
      <c r="H367" s="600"/>
      <c r="I367" s="600"/>
    </row>
    <row r="368" spans="1:19" ht="12" customHeight="1" x14ac:dyDescent="0.2">
      <c r="B368" s="74"/>
    </row>
    <row r="369" spans="1:20" ht="16.5" customHeight="1" x14ac:dyDescent="0.2"/>
    <row r="370" spans="1:20" ht="12" customHeight="1" x14ac:dyDescent="0.2">
      <c r="C370" s="75"/>
    </row>
    <row r="371" spans="1:20" s="25" customFormat="1" ht="34.5" customHeight="1" x14ac:dyDescent="0.2">
      <c r="A371" s="21"/>
      <c r="B371" s="21"/>
      <c r="C371" s="76" t="s">
        <v>699</v>
      </c>
      <c r="D371" s="21"/>
      <c r="E371" s="21"/>
      <c r="F371" s="115"/>
      <c r="G371" s="83"/>
      <c r="H371" s="83"/>
      <c r="I371" s="116"/>
      <c r="J371" s="24"/>
      <c r="L371" s="21"/>
      <c r="M371" s="259"/>
      <c r="N371" s="219"/>
      <c r="O371" s="219"/>
      <c r="P371" s="259"/>
      <c r="Q371" s="176"/>
      <c r="R371" s="21"/>
      <c r="S371" s="21"/>
      <c r="T371" s="21"/>
    </row>
    <row r="372" spans="1:20" s="25" customFormat="1" ht="51" customHeight="1" x14ac:dyDescent="0.2">
      <c r="A372" s="21"/>
      <c r="B372" s="21"/>
      <c r="C372" s="75"/>
      <c r="D372" s="21"/>
      <c r="E372" s="21"/>
      <c r="F372" s="115"/>
      <c r="G372" s="83"/>
      <c r="H372" s="83"/>
      <c r="I372" s="116"/>
      <c r="J372" s="24"/>
      <c r="L372" s="21"/>
      <c r="M372" s="259"/>
      <c r="N372" s="219"/>
      <c r="O372" s="219"/>
      <c r="P372" s="259"/>
      <c r="Q372" s="176"/>
      <c r="R372" s="21"/>
      <c r="S372" s="21"/>
      <c r="T372" s="21"/>
    </row>
    <row r="373" spans="1:20" s="25" customFormat="1" ht="48.75" customHeight="1" x14ac:dyDescent="0.2">
      <c r="A373" s="21"/>
      <c r="B373" s="21"/>
      <c r="C373" s="590"/>
      <c r="D373" s="590"/>
      <c r="E373" s="590"/>
      <c r="F373" s="590"/>
      <c r="G373" s="590"/>
      <c r="H373" s="590"/>
      <c r="I373" s="590"/>
      <c r="J373" s="24"/>
      <c r="L373" s="21"/>
      <c r="M373" s="259"/>
      <c r="N373" s="219"/>
      <c r="O373" s="219"/>
      <c r="P373" s="259"/>
      <c r="Q373" s="176"/>
      <c r="R373" s="21"/>
      <c r="S373" s="21"/>
      <c r="T373" s="21"/>
    </row>
    <row r="374" spans="1:20" s="25" customFormat="1" ht="12" customHeight="1" x14ac:dyDescent="0.2">
      <c r="A374" s="21"/>
      <c r="B374" s="21"/>
      <c r="C374" s="30"/>
      <c r="D374" s="30"/>
      <c r="E374" s="30"/>
      <c r="F374" s="115"/>
      <c r="G374" s="83"/>
      <c r="H374" s="83"/>
      <c r="I374" s="116"/>
      <c r="J374" s="24"/>
      <c r="L374" s="21"/>
      <c r="M374" s="259"/>
      <c r="N374" s="219"/>
      <c r="O374" s="219"/>
      <c r="P374" s="259"/>
      <c r="Q374" s="176"/>
      <c r="R374" s="21"/>
      <c r="S374" s="21"/>
      <c r="T374" s="21"/>
    </row>
    <row r="375" spans="1:20" s="25" customFormat="1" ht="12" customHeight="1" x14ac:dyDescent="0.2">
      <c r="A375" s="21"/>
      <c r="B375" s="21"/>
      <c r="C375" s="30"/>
      <c r="D375" s="30"/>
      <c r="E375" s="30"/>
      <c r="F375" s="115"/>
      <c r="G375" s="83"/>
      <c r="H375" s="83"/>
      <c r="I375" s="116"/>
      <c r="J375" s="24"/>
      <c r="L375" s="21"/>
      <c r="M375" s="259"/>
      <c r="N375" s="219"/>
      <c r="O375" s="219"/>
      <c r="P375" s="259"/>
      <c r="Q375" s="176"/>
      <c r="R375" s="21"/>
      <c r="S375" s="21"/>
      <c r="T375" s="21"/>
    </row>
    <row r="376" spans="1:20" s="25" customFormat="1" ht="42.75" customHeight="1" x14ac:dyDescent="0.2">
      <c r="A376" s="21"/>
      <c r="B376" s="21"/>
      <c r="C376" s="590"/>
      <c r="D376" s="590"/>
      <c r="E376" s="590"/>
      <c r="F376" s="590"/>
      <c r="G376" s="590"/>
      <c r="H376" s="590"/>
      <c r="I376" s="590"/>
      <c r="J376" s="24"/>
      <c r="L376" s="21"/>
      <c r="M376" s="259"/>
      <c r="N376" s="219"/>
      <c r="O376" s="219"/>
      <c r="P376" s="259"/>
      <c r="Q376" s="176"/>
      <c r="R376" s="21"/>
      <c r="S376" s="21"/>
      <c r="T376" s="21"/>
    </row>
    <row r="377" spans="1:20" s="25" customFormat="1" ht="12" customHeight="1" x14ac:dyDescent="0.2">
      <c r="A377" s="21"/>
      <c r="B377" s="21"/>
      <c r="C377" s="30"/>
      <c r="D377" s="30"/>
      <c r="E377" s="30"/>
      <c r="F377" s="115"/>
      <c r="G377" s="83"/>
      <c r="H377" s="83"/>
      <c r="I377" s="116"/>
      <c r="J377" s="24"/>
      <c r="L377" s="21"/>
      <c r="M377" s="259"/>
      <c r="N377" s="219"/>
      <c r="O377" s="219"/>
      <c r="P377" s="259"/>
      <c r="Q377" s="176"/>
      <c r="R377" s="21"/>
      <c r="S377" s="21"/>
      <c r="T377" s="21"/>
    </row>
    <row r="378" spans="1:20" s="25" customFormat="1" ht="12" customHeight="1" x14ac:dyDescent="0.2">
      <c r="A378" s="21"/>
      <c r="B378" s="21"/>
      <c r="C378" s="30"/>
      <c r="D378" s="30"/>
      <c r="E378" s="30"/>
      <c r="F378" s="115"/>
      <c r="G378" s="83"/>
      <c r="H378" s="83"/>
      <c r="I378" s="116"/>
      <c r="J378" s="24"/>
      <c r="L378" s="21"/>
      <c r="M378" s="259"/>
      <c r="N378" s="219"/>
      <c r="O378" s="219"/>
      <c r="P378" s="259"/>
      <c r="Q378" s="176"/>
      <c r="R378" s="21"/>
      <c r="S378" s="21"/>
      <c r="T378" s="21"/>
    </row>
    <row r="379" spans="1:20" s="25" customFormat="1" ht="31.5" customHeight="1" x14ac:dyDescent="0.2">
      <c r="A379" s="21"/>
      <c r="B379" s="21"/>
      <c r="C379" s="590"/>
      <c r="D379" s="590"/>
      <c r="E379" s="590"/>
      <c r="F379" s="590"/>
      <c r="G379" s="590"/>
      <c r="H379" s="590"/>
      <c r="I379" s="590"/>
      <c r="J379" s="24"/>
      <c r="L379" s="21"/>
      <c r="M379" s="259"/>
      <c r="N379" s="219"/>
      <c r="O379" s="219"/>
      <c r="P379" s="259"/>
      <c r="Q379" s="176"/>
      <c r="R379" s="21"/>
      <c r="S379" s="21"/>
      <c r="T379" s="21"/>
    </row>
  </sheetData>
  <mergeCells count="9">
    <mergeCell ref="C373:I373"/>
    <mergeCell ref="C376:I376"/>
    <mergeCell ref="C379:I379"/>
    <mergeCell ref="A2:P2"/>
    <mergeCell ref="A3:P3"/>
    <mergeCell ref="A4:P4"/>
    <mergeCell ref="A6:E6"/>
    <mergeCell ref="B363:E363"/>
    <mergeCell ref="B367:I367"/>
  </mergeCells>
  <printOptions horizontalCentered="1"/>
  <pageMargins left="0.19685039370078741" right="0.19685039370078741" top="0.59055118110236227" bottom="0.39370078740157483" header="0.19685039370078741" footer="0.19685039370078741"/>
  <pageSetup paperSize="9" scale="75" fitToHeight="0" orientation="landscape" horizontalDpi="300" verticalDpi="300" r:id="rId1"/>
  <headerFooter alignWithMargins="0"/>
  <ignoredErrors>
    <ignoredError sqref="M43 M107" formula="1"/>
    <ignoredError sqref="J196 K197:K219 K115:K196 K52:K114 K37:K43 K21:K27 A8:B10 B196 K273"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K26"/>
  <sheetViews>
    <sheetView showGridLines="0" workbookViewId="0">
      <selection activeCell="E36" sqref="E36"/>
    </sheetView>
  </sheetViews>
  <sheetFormatPr baseColWidth="10" defaultColWidth="11.42578125" defaultRowHeight="12.75" x14ac:dyDescent="0.2"/>
  <cols>
    <col min="1" max="1" width="9.7109375" style="202" customWidth="1"/>
    <col min="2" max="2" width="44.7109375" style="202" customWidth="1"/>
    <col min="3" max="3" width="31.7109375" style="202" customWidth="1"/>
    <col min="4" max="4" width="22.140625" style="203" bestFit="1" customWidth="1"/>
    <col min="5" max="5" width="58.85546875" style="202" customWidth="1"/>
    <col min="6" max="6" width="16.85546875" style="202" bestFit="1" customWidth="1"/>
    <col min="7" max="7" width="18.5703125" style="203" bestFit="1" customWidth="1"/>
    <col min="8" max="8" width="14.140625" style="204" bestFit="1" customWidth="1"/>
    <col min="9" max="9" width="15.5703125" style="204" bestFit="1" customWidth="1"/>
    <col min="10" max="16384" width="11.42578125" style="202"/>
  </cols>
  <sheetData>
    <row r="1" spans="1:11" x14ac:dyDescent="0.2">
      <c r="C1" s="603"/>
      <c r="D1" s="603"/>
    </row>
    <row r="2" spans="1:11" hidden="1" x14ac:dyDescent="0.2">
      <c r="B2" s="603" t="s">
        <v>738</v>
      </c>
      <c r="C2" s="603"/>
      <c r="D2" s="603"/>
      <c r="E2" s="603"/>
    </row>
    <row r="3" spans="1:11" hidden="1" x14ac:dyDescent="0.2">
      <c r="B3" s="603" t="s">
        <v>767</v>
      </c>
      <c r="C3" s="603"/>
      <c r="D3" s="603"/>
      <c r="E3" s="603"/>
    </row>
    <row r="4" spans="1:11" hidden="1" x14ac:dyDescent="0.2">
      <c r="C4" s="603"/>
      <c r="D4" s="603"/>
    </row>
    <row r="5" spans="1:11" ht="24.75" hidden="1" customHeight="1" x14ac:dyDescent="0.2">
      <c r="B5" s="205" t="s">
        <v>739</v>
      </c>
      <c r="C5" s="205" t="s">
        <v>740</v>
      </c>
      <c r="D5" s="206" t="s">
        <v>741</v>
      </c>
      <c r="E5" s="207" t="s">
        <v>742</v>
      </c>
    </row>
    <row r="6" spans="1:11" s="214" customFormat="1" ht="36" hidden="1" customHeight="1" x14ac:dyDescent="0.25">
      <c r="B6" s="208" t="s">
        <v>764</v>
      </c>
      <c r="C6" s="208" t="s">
        <v>765</v>
      </c>
      <c r="D6" s="210">
        <v>165908.29999999999</v>
      </c>
      <c r="E6" s="208" t="s">
        <v>766</v>
      </c>
      <c r="G6" s="212"/>
      <c r="H6" s="213"/>
      <c r="I6" s="211"/>
    </row>
    <row r="7" spans="1:11" s="214" customFormat="1" ht="27.75" hidden="1" customHeight="1" x14ac:dyDescent="0.25">
      <c r="B7" s="604" t="s">
        <v>190</v>
      </c>
      <c r="C7" s="209" t="s">
        <v>761</v>
      </c>
      <c r="D7" s="210">
        <v>131694637</v>
      </c>
      <c r="E7" s="604" t="s">
        <v>743</v>
      </c>
      <c r="F7" s="211"/>
      <c r="G7" s="212"/>
      <c r="H7" s="213"/>
      <c r="I7" s="211"/>
    </row>
    <row r="8" spans="1:11" s="214" customFormat="1" ht="21" hidden="1" customHeight="1" x14ac:dyDescent="0.25">
      <c r="B8" s="606"/>
      <c r="C8" s="209" t="s">
        <v>762</v>
      </c>
      <c r="D8" s="210">
        <v>129465000</v>
      </c>
      <c r="E8" s="606"/>
      <c r="F8" s="211"/>
      <c r="G8" s="212"/>
      <c r="H8" s="213"/>
      <c r="I8" s="211"/>
    </row>
    <row r="9" spans="1:11" s="214" customFormat="1" ht="29.25" hidden="1" customHeight="1" x14ac:dyDescent="0.25">
      <c r="B9" s="208" t="s">
        <v>176</v>
      </c>
      <c r="C9" s="208" t="s">
        <v>177</v>
      </c>
      <c r="D9" s="210">
        <v>24484314.280000001</v>
      </c>
      <c r="E9" s="208" t="s">
        <v>700</v>
      </c>
      <c r="G9" s="212"/>
      <c r="H9" s="213"/>
      <c r="I9" s="211"/>
    </row>
    <row r="10" spans="1:11" s="214" customFormat="1" ht="24.75" hidden="1" customHeight="1" x14ac:dyDescent="0.2">
      <c r="B10" s="208" t="s">
        <v>189</v>
      </c>
      <c r="C10" s="208" t="s">
        <v>763</v>
      </c>
      <c r="D10" s="215">
        <v>250926.77</v>
      </c>
      <c r="E10" s="208" t="s">
        <v>744</v>
      </c>
      <c r="G10" s="212"/>
      <c r="H10" s="213"/>
      <c r="I10" s="211"/>
    </row>
    <row r="11" spans="1:11" s="214" customFormat="1" hidden="1" x14ac:dyDescent="0.2">
      <c r="B11" s="208"/>
      <c r="C11" s="216" t="s">
        <v>6</v>
      </c>
      <c r="D11" s="217">
        <f>SUM(D6:D10)</f>
        <v>286060786.35000002</v>
      </c>
      <c r="E11" s="208"/>
      <c r="G11" s="212"/>
      <c r="H11" s="213"/>
      <c r="I11" s="211"/>
    </row>
    <row r="12" spans="1:11" s="204" customFormat="1" x14ac:dyDescent="0.2">
      <c r="A12" s="202"/>
      <c r="B12" s="202"/>
      <c r="C12" s="607"/>
      <c r="D12" s="607"/>
      <c r="E12" s="202"/>
      <c r="F12" s="202"/>
      <c r="G12" s="203"/>
      <c r="H12" s="218"/>
      <c r="J12" s="202"/>
      <c r="K12" s="202"/>
    </row>
    <row r="13" spans="1:11" s="204" customFormat="1" x14ac:dyDescent="0.2">
      <c r="A13" s="202"/>
      <c r="B13" s="202"/>
      <c r="C13" s="202"/>
      <c r="D13" s="203"/>
      <c r="E13" s="202"/>
      <c r="F13" s="202"/>
      <c r="G13" s="203"/>
      <c r="H13" s="218"/>
      <c r="J13" s="202"/>
      <c r="K13" s="202"/>
    </row>
    <row r="14" spans="1:11" s="204" customFormat="1" x14ac:dyDescent="0.2">
      <c r="A14" s="202"/>
      <c r="B14" s="603" t="s">
        <v>738</v>
      </c>
      <c r="C14" s="603"/>
      <c r="D14" s="603"/>
      <c r="E14" s="603"/>
      <c r="F14" s="202"/>
      <c r="G14" s="203"/>
      <c r="H14" s="218"/>
      <c r="J14" s="202"/>
      <c r="K14" s="202"/>
    </row>
    <row r="15" spans="1:11" x14ac:dyDescent="0.2">
      <c r="B15" s="603" t="s">
        <v>1182</v>
      </c>
      <c r="C15" s="603"/>
      <c r="D15" s="603"/>
      <c r="E15" s="603"/>
    </row>
    <row r="17" spans="2:9" ht="24.75" customHeight="1" x14ac:dyDescent="0.2">
      <c r="B17" s="205" t="s">
        <v>739</v>
      </c>
      <c r="C17" s="205" t="s">
        <v>740</v>
      </c>
      <c r="D17" s="206" t="s">
        <v>741</v>
      </c>
      <c r="E17" s="207" t="s">
        <v>742</v>
      </c>
    </row>
    <row r="18" spans="2:9" s="214" customFormat="1" ht="54.75" customHeight="1" x14ac:dyDescent="0.25">
      <c r="B18" s="208" t="s">
        <v>1187</v>
      </c>
      <c r="C18" s="208" t="s">
        <v>1184</v>
      </c>
      <c r="D18" s="210">
        <v>5530161.1299999999</v>
      </c>
      <c r="E18" s="208" t="s">
        <v>1189</v>
      </c>
      <c r="G18" s="212"/>
      <c r="H18" s="213"/>
      <c r="I18" s="211"/>
    </row>
    <row r="19" spans="2:9" s="214" customFormat="1" ht="27.75" customHeight="1" x14ac:dyDescent="0.25">
      <c r="B19" s="604" t="s">
        <v>190</v>
      </c>
      <c r="C19" s="209" t="s">
        <v>761</v>
      </c>
      <c r="D19" s="210">
        <v>2052140</v>
      </c>
      <c r="E19" s="604" t="s">
        <v>1188</v>
      </c>
      <c r="F19" s="211"/>
      <c r="G19" s="212"/>
      <c r="H19" s="213"/>
      <c r="I19" s="211"/>
    </row>
    <row r="20" spans="2:9" s="214" customFormat="1" ht="27.75" customHeight="1" x14ac:dyDescent="0.25">
      <c r="B20" s="605"/>
      <c r="C20" s="209" t="s">
        <v>762</v>
      </c>
      <c r="D20" s="210">
        <v>12823724</v>
      </c>
      <c r="E20" s="606"/>
      <c r="F20" s="211"/>
      <c r="G20" s="212"/>
      <c r="H20" s="213"/>
      <c r="I20" s="211"/>
    </row>
    <row r="21" spans="2:9" s="214" customFormat="1" ht="27.75" customHeight="1" x14ac:dyDescent="0.25">
      <c r="B21" s="605"/>
      <c r="C21" s="209" t="s">
        <v>1186</v>
      </c>
      <c r="D21" s="210">
        <v>6220871</v>
      </c>
      <c r="E21" s="547" t="s">
        <v>1191</v>
      </c>
      <c r="F21" s="211"/>
      <c r="G21" s="212"/>
      <c r="H21" s="213"/>
      <c r="I21" s="211"/>
    </row>
    <row r="22" spans="2:9" s="214" customFormat="1" ht="29.25" customHeight="1" x14ac:dyDescent="0.25">
      <c r="B22" s="208" t="s">
        <v>176</v>
      </c>
      <c r="C22" s="208" t="s">
        <v>177</v>
      </c>
      <c r="D22" s="210">
        <f>8161438.1+8161438.1+8161438.1</f>
        <v>24484314.299999997</v>
      </c>
      <c r="E22" s="208" t="s">
        <v>700</v>
      </c>
      <c r="G22" s="212"/>
      <c r="H22" s="213"/>
      <c r="I22" s="211"/>
    </row>
    <row r="23" spans="2:9" s="214" customFormat="1" ht="24.75" customHeight="1" x14ac:dyDescent="0.25">
      <c r="B23" s="208" t="s">
        <v>189</v>
      </c>
      <c r="C23" s="208" t="s">
        <v>763</v>
      </c>
      <c r="D23" s="210">
        <f>616258.12+1443656.33+515370.26+71979+163152.4</f>
        <v>2810416.11</v>
      </c>
      <c r="E23" s="208" t="s">
        <v>744</v>
      </c>
      <c r="G23" s="212"/>
      <c r="H23" s="213"/>
      <c r="I23" s="211"/>
    </row>
    <row r="24" spans="2:9" s="214" customFormat="1" ht="28.5" customHeight="1" x14ac:dyDescent="0.2">
      <c r="B24" s="208" t="s">
        <v>1185</v>
      </c>
      <c r="C24" s="208" t="s">
        <v>1127</v>
      </c>
      <c r="D24" s="215">
        <v>22977467</v>
      </c>
      <c r="E24" s="208" t="s">
        <v>743</v>
      </c>
      <c r="G24" s="212"/>
      <c r="H24" s="213"/>
      <c r="I24" s="211"/>
    </row>
    <row r="25" spans="2:9" s="214" customFormat="1" ht="24.75" customHeight="1" x14ac:dyDescent="0.25">
      <c r="B25" s="208" t="s">
        <v>1183</v>
      </c>
      <c r="C25" s="208" t="s">
        <v>1184</v>
      </c>
      <c r="D25" s="210">
        <v>9800000</v>
      </c>
      <c r="E25" s="208" t="s">
        <v>1190</v>
      </c>
      <c r="G25" s="212"/>
      <c r="H25" s="213"/>
      <c r="I25" s="211"/>
    </row>
    <row r="26" spans="2:9" s="214" customFormat="1" x14ac:dyDescent="0.2">
      <c r="B26" s="208"/>
      <c r="C26" s="216" t="s">
        <v>6</v>
      </c>
      <c r="D26" s="217">
        <f>SUM(D18:D25)</f>
        <v>86699093.539999992</v>
      </c>
      <c r="E26" s="208"/>
      <c r="G26" s="212"/>
      <c r="H26" s="213"/>
      <c r="I26" s="211"/>
    </row>
  </sheetData>
  <mergeCells count="11">
    <mergeCell ref="B14:E14"/>
    <mergeCell ref="B15:E15"/>
    <mergeCell ref="B19:B21"/>
    <mergeCell ref="E19:E20"/>
    <mergeCell ref="C1:D1"/>
    <mergeCell ref="C4:D4"/>
    <mergeCell ref="C12:D12"/>
    <mergeCell ref="B7:B8"/>
    <mergeCell ref="E7:E8"/>
    <mergeCell ref="B2:E2"/>
    <mergeCell ref="B3:E3"/>
  </mergeCells>
  <printOptions horizontalCentered="1"/>
  <pageMargins left="0.11811023622047245" right="0.11811023622047245" top="0.94488188976377963" bottom="0.74803149606299213" header="0.31496062992125984" footer="0.31496062992125984"/>
  <pageSetup paperSize="9" scale="77"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7975D-16D3-4C7B-B32E-58CC0DBDF984}">
  <dimension ref="B2:Z224"/>
  <sheetViews>
    <sheetView showGridLines="0" topLeftCell="A4" zoomScaleNormal="100" workbookViewId="0">
      <selection activeCell="D14" sqref="D14"/>
    </sheetView>
  </sheetViews>
  <sheetFormatPr baseColWidth="10" defaultRowHeight="13.5" x14ac:dyDescent="0.25"/>
  <cols>
    <col min="1" max="1" width="6.140625" style="389" customWidth="1"/>
    <col min="2" max="2" width="18.7109375" style="395" customWidth="1"/>
    <col min="3" max="3" width="18.7109375" style="396" customWidth="1"/>
    <col min="4" max="4" width="25.28515625" style="396" customWidth="1"/>
    <col min="5" max="12" width="21.42578125" style="397" hidden="1" customWidth="1"/>
    <col min="13" max="13" width="20.85546875" style="397" customWidth="1"/>
    <col min="14" max="17" width="21.42578125" style="397" customWidth="1"/>
    <col min="18" max="18" width="39.28515625" style="398" customWidth="1"/>
    <col min="19" max="19" width="22.7109375" style="398" customWidth="1"/>
    <col min="20" max="20" width="17" style="398" hidden="1" customWidth="1"/>
    <col min="21" max="21" width="15.140625" style="387" customWidth="1"/>
    <col min="22" max="22" width="25.5703125" style="388" hidden="1" customWidth="1"/>
    <col min="23" max="23" width="16.5703125" style="389" customWidth="1"/>
    <col min="24" max="24" width="32.140625" style="389" hidden="1" customWidth="1"/>
    <col min="25" max="25" width="73" style="397" customWidth="1"/>
    <col min="26" max="26" width="40.28515625" style="397" customWidth="1"/>
    <col min="27" max="16384" width="11.42578125" style="389"/>
  </cols>
  <sheetData>
    <row r="2" spans="2:26" ht="13.5" customHeight="1" x14ac:dyDescent="0.25">
      <c r="B2" s="548"/>
      <c r="C2" s="551" t="s">
        <v>809</v>
      </c>
      <c r="D2" s="552"/>
      <c r="E2" s="552"/>
      <c r="F2" s="552"/>
      <c r="G2" s="552"/>
      <c r="H2" s="552"/>
      <c r="I2" s="552"/>
      <c r="J2" s="552"/>
      <c r="K2" s="552"/>
      <c r="L2" s="552"/>
      <c r="M2" s="552"/>
      <c r="N2" s="552"/>
      <c r="O2" s="552"/>
      <c r="P2" s="552"/>
      <c r="Q2" s="552"/>
      <c r="R2" s="553"/>
      <c r="S2" s="386"/>
      <c r="T2" s="386"/>
      <c r="Y2" s="389"/>
      <c r="Z2" s="386"/>
    </row>
    <row r="3" spans="2:26" ht="13.5" customHeight="1" x14ac:dyDescent="0.25">
      <c r="B3" s="549"/>
      <c r="C3" s="554"/>
      <c r="D3" s="555"/>
      <c r="E3" s="555"/>
      <c r="F3" s="555"/>
      <c r="G3" s="555"/>
      <c r="H3" s="555"/>
      <c r="I3" s="555"/>
      <c r="J3" s="555"/>
      <c r="K3" s="555"/>
      <c r="L3" s="555"/>
      <c r="M3" s="555"/>
      <c r="N3" s="555"/>
      <c r="O3" s="555"/>
      <c r="P3" s="555"/>
      <c r="Q3" s="555"/>
      <c r="R3" s="556"/>
      <c r="S3" s="386"/>
      <c r="T3" s="386"/>
      <c r="Y3" s="389"/>
      <c r="Z3" s="386"/>
    </row>
    <row r="4" spans="2:26" ht="13.5" customHeight="1" x14ac:dyDescent="0.25">
      <c r="B4" s="549"/>
      <c r="C4" s="554"/>
      <c r="D4" s="555"/>
      <c r="E4" s="555"/>
      <c r="F4" s="555"/>
      <c r="G4" s="555"/>
      <c r="H4" s="555"/>
      <c r="I4" s="555"/>
      <c r="J4" s="555"/>
      <c r="K4" s="555"/>
      <c r="L4" s="555"/>
      <c r="M4" s="555"/>
      <c r="N4" s="555"/>
      <c r="O4" s="555"/>
      <c r="P4" s="555"/>
      <c r="Q4" s="555"/>
      <c r="R4" s="556"/>
      <c r="S4" s="386"/>
      <c r="T4" s="386"/>
      <c r="Y4" s="389"/>
      <c r="Z4" s="386"/>
    </row>
    <row r="5" spans="2:26" ht="13.5" customHeight="1" x14ac:dyDescent="0.25">
      <c r="B5" s="549"/>
      <c r="C5" s="554"/>
      <c r="D5" s="555"/>
      <c r="E5" s="555"/>
      <c r="F5" s="555"/>
      <c r="G5" s="555"/>
      <c r="H5" s="555"/>
      <c r="I5" s="555"/>
      <c r="J5" s="555"/>
      <c r="K5" s="555"/>
      <c r="L5" s="555"/>
      <c r="M5" s="555"/>
      <c r="N5" s="555"/>
      <c r="O5" s="555"/>
      <c r="P5" s="555"/>
      <c r="Q5" s="555"/>
      <c r="R5" s="556"/>
      <c r="S5" s="386"/>
      <c r="T5" s="386"/>
      <c r="Y5" s="389"/>
      <c r="Z5" s="386"/>
    </row>
    <row r="6" spans="2:26" ht="13.5" customHeight="1" x14ac:dyDescent="0.25">
      <c r="B6" s="549"/>
      <c r="C6" s="554"/>
      <c r="D6" s="555"/>
      <c r="E6" s="555"/>
      <c r="F6" s="555"/>
      <c r="G6" s="555"/>
      <c r="H6" s="555"/>
      <c r="I6" s="555"/>
      <c r="J6" s="555"/>
      <c r="K6" s="555"/>
      <c r="L6" s="555"/>
      <c r="M6" s="555"/>
      <c r="N6" s="555"/>
      <c r="O6" s="555"/>
      <c r="P6" s="555"/>
      <c r="Q6" s="555"/>
      <c r="R6" s="556"/>
      <c r="S6" s="386"/>
      <c r="T6" s="386"/>
      <c r="Y6" s="389"/>
      <c r="Z6" s="386"/>
    </row>
    <row r="7" spans="2:26" ht="13.5" customHeight="1" x14ac:dyDescent="0.25">
      <c r="B7" s="549"/>
      <c r="C7" s="554"/>
      <c r="D7" s="555"/>
      <c r="E7" s="555"/>
      <c r="F7" s="555"/>
      <c r="G7" s="555"/>
      <c r="H7" s="555"/>
      <c r="I7" s="555"/>
      <c r="J7" s="555"/>
      <c r="K7" s="555"/>
      <c r="L7" s="555"/>
      <c r="M7" s="555"/>
      <c r="N7" s="555"/>
      <c r="O7" s="555"/>
      <c r="P7" s="555"/>
      <c r="Q7" s="555"/>
      <c r="R7" s="556"/>
      <c r="S7" s="390"/>
      <c r="T7" s="390"/>
      <c r="Y7" s="389"/>
      <c r="Z7" s="390"/>
    </row>
    <row r="8" spans="2:26" ht="13.5" customHeight="1" x14ac:dyDescent="0.25">
      <c r="B8" s="549"/>
      <c r="C8" s="557"/>
      <c r="D8" s="558"/>
      <c r="E8" s="558"/>
      <c r="F8" s="558"/>
      <c r="G8" s="558"/>
      <c r="H8" s="558"/>
      <c r="I8" s="558"/>
      <c r="J8" s="558"/>
      <c r="K8" s="558"/>
      <c r="L8" s="558"/>
      <c r="M8" s="558"/>
      <c r="N8" s="558"/>
      <c r="O8" s="558"/>
      <c r="P8" s="558"/>
      <c r="Q8" s="558"/>
      <c r="R8" s="559"/>
      <c r="S8" s="390"/>
      <c r="T8" s="390"/>
      <c r="Y8" s="389"/>
      <c r="Z8" s="390"/>
    </row>
    <row r="9" spans="2:26" ht="15.75" customHeight="1" x14ac:dyDescent="0.25">
      <c r="B9" s="549"/>
      <c r="C9" s="551" t="s">
        <v>810</v>
      </c>
      <c r="D9" s="552"/>
      <c r="E9" s="552"/>
      <c r="F9" s="552"/>
      <c r="G9" s="552"/>
      <c r="H9" s="552"/>
      <c r="I9" s="552"/>
      <c r="J9" s="552"/>
      <c r="K9" s="552"/>
      <c r="L9" s="552"/>
      <c r="M9" s="552"/>
      <c r="N9" s="552"/>
      <c r="O9" s="391"/>
      <c r="P9" s="391"/>
      <c r="Q9" s="391"/>
      <c r="R9" s="392" t="s">
        <v>811</v>
      </c>
      <c r="S9" s="391"/>
      <c r="T9" s="391"/>
      <c r="Y9" s="389"/>
      <c r="Z9" s="391"/>
    </row>
    <row r="10" spans="2:26" ht="15.75" x14ac:dyDescent="0.25">
      <c r="B10" s="550"/>
      <c r="C10" s="557"/>
      <c r="D10" s="558"/>
      <c r="E10" s="558"/>
      <c r="F10" s="558"/>
      <c r="G10" s="558"/>
      <c r="H10" s="558"/>
      <c r="I10" s="558"/>
      <c r="J10" s="558"/>
      <c r="K10" s="558"/>
      <c r="L10" s="558"/>
      <c r="M10" s="558"/>
      <c r="N10" s="558"/>
      <c r="O10" s="393"/>
      <c r="P10" s="393"/>
      <c r="Q10" s="393"/>
      <c r="R10" s="394">
        <v>2</v>
      </c>
      <c r="S10" s="391"/>
      <c r="T10" s="391"/>
      <c r="Y10" s="389"/>
      <c r="Z10" s="391"/>
    </row>
    <row r="11" spans="2:26" ht="2.25" customHeight="1" x14ac:dyDescent="0.25"/>
    <row r="12" spans="2:26" ht="91.5" customHeight="1" x14ac:dyDescent="0.25">
      <c r="B12" s="399" t="s">
        <v>812</v>
      </c>
      <c r="C12" s="399" t="s">
        <v>813</v>
      </c>
      <c r="D12" s="399" t="s">
        <v>739</v>
      </c>
      <c r="E12" s="399" t="s">
        <v>814</v>
      </c>
      <c r="F12" s="399" t="s">
        <v>815</v>
      </c>
      <c r="G12" s="399" t="s">
        <v>816</v>
      </c>
      <c r="H12" s="399" t="s">
        <v>817</v>
      </c>
      <c r="I12" s="399" t="s">
        <v>818</v>
      </c>
      <c r="J12" s="399" t="s">
        <v>819</v>
      </c>
      <c r="K12" s="399" t="s">
        <v>820</v>
      </c>
      <c r="L12" s="399" t="s">
        <v>821</v>
      </c>
      <c r="M12" s="399" t="s">
        <v>707</v>
      </c>
      <c r="N12" s="399" t="s">
        <v>822</v>
      </c>
      <c r="O12" s="399" t="s">
        <v>749</v>
      </c>
      <c r="P12" s="399" t="s">
        <v>823</v>
      </c>
      <c r="Q12" s="399" t="s">
        <v>20</v>
      </c>
      <c r="R12" s="399" t="s">
        <v>824</v>
      </c>
      <c r="S12" s="399" t="s">
        <v>825</v>
      </c>
      <c r="T12" s="399" t="s">
        <v>826</v>
      </c>
      <c r="U12" s="399" t="s">
        <v>827</v>
      </c>
      <c r="V12" s="399" t="s">
        <v>828</v>
      </c>
      <c r="W12" s="400" t="s">
        <v>829</v>
      </c>
      <c r="X12" s="400" t="s">
        <v>830</v>
      </c>
      <c r="Y12" s="399" t="s">
        <v>831</v>
      </c>
      <c r="Z12" s="399" t="s">
        <v>832</v>
      </c>
    </row>
    <row r="13" spans="2:26" ht="92.25" customHeight="1" x14ac:dyDescent="0.25">
      <c r="B13" s="401" t="s">
        <v>833</v>
      </c>
      <c r="C13" s="402" t="s">
        <v>834</v>
      </c>
      <c r="D13" s="403" t="s">
        <v>835</v>
      </c>
      <c r="E13" s="404">
        <v>161461800</v>
      </c>
      <c r="F13" s="404"/>
      <c r="G13" s="404"/>
      <c r="H13" s="404"/>
      <c r="I13" s="404"/>
      <c r="J13" s="404">
        <v>-2500000</v>
      </c>
      <c r="K13" s="404">
        <v>-1000000</v>
      </c>
      <c r="L13" s="404"/>
      <c r="M13" s="404">
        <f>+Tabla14[[#This Row],[Escenario 5: Monto ajustado aprobado por la CGR]]+Tabla14[[#This Row],[Modificación 01-2021]]+Tabla14[[#This Row],[MN01-2021]]+Tabla14[[#This Row],[MN02-2022]]+Tabla14[[#This Row],[Modificación 02-2021]]+Tabla14[[#This Row],[Modificación 03-2021]]+Tabla14[[#This Row],[PE-01-2021]]+Tabla14[[#This Row],[MN03-20221]]</f>
        <v>157961800</v>
      </c>
      <c r="N13" s="404"/>
      <c r="O13" s="404"/>
      <c r="P13" s="404">
        <v>71542780</v>
      </c>
      <c r="Q13" s="404">
        <f>+Tabla14[[#This Row],[Presupuesto total]]-Tabla14[[#This Row],[Resevas]]-Tabla14[[#This Row],[Compromisos ]]-Tabla14[[#This Row],[Ejecutado]]</f>
        <v>86419020</v>
      </c>
      <c r="R13" s="405" t="s">
        <v>15</v>
      </c>
      <c r="S13" s="405" t="s">
        <v>836</v>
      </c>
      <c r="T13" s="405" t="s">
        <v>837</v>
      </c>
      <c r="U13" s="401" t="s">
        <v>838</v>
      </c>
      <c r="V13" s="403" t="s">
        <v>839</v>
      </c>
      <c r="W13" s="406" t="s">
        <v>838</v>
      </c>
      <c r="X13" s="407" t="s">
        <v>840</v>
      </c>
      <c r="Y13" s="401" t="s">
        <v>841</v>
      </c>
      <c r="Z13" s="401" t="s">
        <v>175</v>
      </c>
    </row>
    <row r="14" spans="2:26" ht="90.75" customHeight="1" x14ac:dyDescent="0.25">
      <c r="B14" s="401" t="s">
        <v>833</v>
      </c>
      <c r="C14" s="403" t="s">
        <v>834</v>
      </c>
      <c r="D14" s="403" t="s">
        <v>835</v>
      </c>
      <c r="E14" s="404">
        <v>219650232</v>
      </c>
      <c r="F14" s="404"/>
      <c r="G14" s="404"/>
      <c r="H14" s="404"/>
      <c r="I14" s="404"/>
      <c r="J14" s="404">
        <v>-2700000</v>
      </c>
      <c r="K14" s="404"/>
      <c r="L14" s="404"/>
      <c r="M14" s="404">
        <f>+Tabla14[[#This Row],[Escenario 5: Monto ajustado aprobado por la CGR]]+Tabla14[[#This Row],[Modificación 01-2021]]+Tabla14[[#This Row],[MN01-2021]]+Tabla14[[#This Row],[MN02-2022]]+Tabla14[[#This Row],[Modificación 02-2021]]+Tabla14[[#This Row],[Modificación 03-2021]]+Tabla14[[#This Row],[PE-01-2021]]+Tabla14[[#This Row],[MN03-20221]]</f>
        <v>216950232</v>
      </c>
      <c r="N14" s="404"/>
      <c r="O14" s="404"/>
      <c r="P14" s="404">
        <v>102359308.65000001</v>
      </c>
      <c r="Q14" s="404">
        <f>+Tabla14[[#This Row],[Presupuesto total]]-Tabla14[[#This Row],[Resevas]]-Tabla14[[#This Row],[Compromisos ]]-Tabla14[[#This Row],[Ejecutado]]</f>
        <v>114590923.34999999</v>
      </c>
      <c r="R14" s="405" t="s">
        <v>15</v>
      </c>
      <c r="S14" s="405" t="s">
        <v>842</v>
      </c>
      <c r="T14" s="405" t="s">
        <v>843</v>
      </c>
      <c r="U14" s="406" t="s">
        <v>844</v>
      </c>
      <c r="V14" s="407" t="s">
        <v>845</v>
      </c>
      <c r="W14" s="406" t="s">
        <v>846</v>
      </c>
      <c r="X14" s="407" t="s">
        <v>847</v>
      </c>
      <c r="Y14" s="401" t="s">
        <v>848</v>
      </c>
      <c r="Z14" s="401"/>
    </row>
    <row r="15" spans="2:26" ht="90.75" customHeight="1" x14ac:dyDescent="0.25">
      <c r="B15" s="401" t="s">
        <v>833</v>
      </c>
      <c r="C15" s="403" t="s">
        <v>834</v>
      </c>
      <c r="D15" s="403" t="s">
        <v>849</v>
      </c>
      <c r="E15" s="404"/>
      <c r="F15" s="404"/>
      <c r="G15" s="404"/>
      <c r="H15" s="404"/>
      <c r="I15" s="404"/>
      <c r="J15" s="404">
        <v>5000000</v>
      </c>
      <c r="K15" s="404"/>
      <c r="L15" s="404"/>
      <c r="M15" s="404">
        <f>+Tabla14[[#This Row],[Escenario 5: Monto ajustado aprobado por la CGR]]+Tabla14[[#This Row],[Modificación 01-2021]]+Tabla14[[#This Row],[MN01-2021]]+Tabla14[[#This Row],[MN02-2022]]+Tabla14[[#This Row],[Modificación 02-2021]]+Tabla14[[#This Row],[Modificación 03-2021]]+Tabla14[[#This Row],[PE-01-2021]]+Tabla14[[#This Row],[MN03-20221]]</f>
        <v>5000000</v>
      </c>
      <c r="N15" s="404"/>
      <c r="O15" s="404"/>
      <c r="P15" s="404">
        <v>98012.1</v>
      </c>
      <c r="Q15" s="404">
        <f>+Tabla14[[#This Row],[Presupuesto total]]-Tabla14[[#This Row],[Resevas]]-Tabla14[[#This Row],[Compromisos ]]-Tabla14[[#This Row],[Ejecutado]]</f>
        <v>4901987.9000000004</v>
      </c>
      <c r="R15" s="405" t="s">
        <v>15</v>
      </c>
      <c r="S15" s="405" t="s">
        <v>842</v>
      </c>
      <c r="T15" s="405" t="s">
        <v>843</v>
      </c>
      <c r="U15" s="406" t="s">
        <v>844</v>
      </c>
      <c r="V15" s="407" t="s">
        <v>845</v>
      </c>
      <c r="W15" s="406" t="s">
        <v>846</v>
      </c>
      <c r="X15" s="407" t="s">
        <v>847</v>
      </c>
      <c r="Y15" s="407" t="s">
        <v>850</v>
      </c>
      <c r="Z15" s="401"/>
    </row>
    <row r="16" spans="2:26" ht="90.75" customHeight="1" x14ac:dyDescent="0.25">
      <c r="B16" s="401" t="s">
        <v>833</v>
      </c>
      <c r="C16" s="403" t="s">
        <v>834</v>
      </c>
      <c r="D16" s="403" t="s">
        <v>851</v>
      </c>
      <c r="E16" s="404">
        <v>0</v>
      </c>
      <c r="F16" s="404"/>
      <c r="G16" s="404"/>
      <c r="H16" s="404"/>
      <c r="I16" s="404">
        <v>1100000</v>
      </c>
      <c r="J16" s="404"/>
      <c r="K16" s="404"/>
      <c r="L16" s="404"/>
      <c r="M16" s="404">
        <f>+Tabla14[[#This Row],[Escenario 5: Monto ajustado aprobado por la CGR]]+Tabla14[[#This Row],[Modificación 01-2021]]+Tabla14[[#This Row],[MN01-2021]]+Tabla14[[#This Row],[MN02-2022]]+Tabla14[[#This Row],[Modificación 02-2021]]+Tabla14[[#This Row],[Modificación 03-2021]]+Tabla14[[#This Row],[PE-01-2021]]+Tabla14[[#This Row],[MN03-20221]]</f>
        <v>1100000</v>
      </c>
      <c r="N16" s="404"/>
      <c r="O16" s="404"/>
      <c r="P16" s="404">
        <v>0</v>
      </c>
      <c r="Q16" s="404">
        <f>+Tabla14[[#This Row],[Presupuesto total]]-Tabla14[[#This Row],[Resevas]]-Tabla14[[#This Row],[Compromisos ]]-Tabla14[[#This Row],[Ejecutado]]</f>
        <v>1100000</v>
      </c>
      <c r="R16" s="405" t="s">
        <v>15</v>
      </c>
      <c r="S16" s="405" t="s">
        <v>836</v>
      </c>
      <c r="T16" s="401" t="s">
        <v>838</v>
      </c>
      <c r="U16" s="401" t="s">
        <v>838</v>
      </c>
      <c r="V16" s="403" t="s">
        <v>839</v>
      </c>
      <c r="W16" s="406" t="s">
        <v>838</v>
      </c>
      <c r="X16" s="407" t="s">
        <v>840</v>
      </c>
      <c r="Y16" s="407" t="s">
        <v>852</v>
      </c>
      <c r="Z16" s="401"/>
    </row>
    <row r="17" spans="2:26" ht="90.75" customHeight="1" x14ac:dyDescent="0.25">
      <c r="B17" s="406" t="s">
        <v>833</v>
      </c>
      <c r="C17" s="403" t="s">
        <v>834</v>
      </c>
      <c r="D17" s="407" t="s">
        <v>851</v>
      </c>
      <c r="E17" s="404">
        <v>0</v>
      </c>
      <c r="F17" s="404"/>
      <c r="G17" s="404"/>
      <c r="H17" s="404"/>
      <c r="I17" s="404">
        <v>1100000</v>
      </c>
      <c r="J17" s="404"/>
      <c r="K17" s="404"/>
      <c r="L17" s="404"/>
      <c r="M17" s="404">
        <f>+Tabla14[[#This Row],[Escenario 5: Monto ajustado aprobado por la CGR]]+Tabla14[[#This Row],[Modificación 01-2021]]+Tabla14[[#This Row],[MN01-2021]]+Tabla14[[#This Row],[MN02-2022]]+Tabla14[[#This Row],[Modificación 02-2021]]+Tabla14[[#This Row],[Modificación 03-2021]]+Tabla14[[#This Row],[PE-01-2021]]+Tabla14[[#This Row],[MN03-20221]]</f>
        <v>1100000</v>
      </c>
      <c r="N17" s="404"/>
      <c r="O17" s="404"/>
      <c r="P17" s="404">
        <v>0</v>
      </c>
      <c r="Q17" s="404">
        <f>+Tabla14[[#This Row],[Presupuesto total]]-Tabla14[[#This Row],[Resevas]]-Tabla14[[#This Row],[Compromisos ]]-Tabla14[[#This Row],[Ejecutado]]</f>
        <v>1100000</v>
      </c>
      <c r="R17" s="405" t="s">
        <v>15</v>
      </c>
      <c r="S17" s="405" t="s">
        <v>842</v>
      </c>
      <c r="T17" s="405" t="s">
        <v>843</v>
      </c>
      <c r="U17" s="406" t="s">
        <v>844</v>
      </c>
      <c r="V17" s="407" t="s">
        <v>845</v>
      </c>
      <c r="W17" s="406" t="s">
        <v>846</v>
      </c>
      <c r="X17" s="407" t="s">
        <v>847</v>
      </c>
      <c r="Y17" s="407" t="s">
        <v>852</v>
      </c>
      <c r="Z17" s="401"/>
    </row>
    <row r="18" spans="2:26" ht="67.5" x14ac:dyDescent="0.25">
      <c r="B18" s="406" t="s">
        <v>833</v>
      </c>
      <c r="C18" s="408" t="s">
        <v>853</v>
      </c>
      <c r="D18" s="407" t="s">
        <v>854</v>
      </c>
      <c r="E18" s="404">
        <v>7200000</v>
      </c>
      <c r="F18" s="404"/>
      <c r="G18" s="404"/>
      <c r="H18" s="404"/>
      <c r="I18" s="404"/>
      <c r="J18" s="404"/>
      <c r="K18" s="404"/>
      <c r="L18" s="404"/>
      <c r="M18" s="404">
        <f>+Tabla14[[#This Row],[Escenario 5: Monto ajustado aprobado por la CGR]]+Tabla14[[#This Row],[Modificación 01-2021]]+Tabla14[[#This Row],[MN01-2021]]+Tabla14[[#This Row],[MN02-2022]]+Tabla14[[#This Row],[Modificación 02-2021]]+Tabla14[[#This Row],[Modificación 03-2021]]+Tabla14[[#This Row],[PE-01-2021]]+Tabla14[[#This Row],[MN03-20221]]</f>
        <v>7200000</v>
      </c>
      <c r="N18" s="404">
        <v>0</v>
      </c>
      <c r="O18" s="404">
        <v>0</v>
      </c>
      <c r="P18" s="404">
        <v>3382420.44</v>
      </c>
      <c r="Q18" s="404">
        <f>+Tabla14[[#This Row],[Presupuesto total]]-Tabla14[[#This Row],[Resevas]]-Tabla14[[#This Row],[Compromisos ]]-Tabla14[[#This Row],[Ejecutado]]</f>
        <v>3817579.56</v>
      </c>
      <c r="R18" s="409" t="s">
        <v>15</v>
      </c>
      <c r="S18" s="405" t="s">
        <v>842</v>
      </c>
      <c r="T18" s="405" t="s">
        <v>855</v>
      </c>
      <c r="U18" s="406" t="s">
        <v>856</v>
      </c>
      <c r="V18" s="406" t="s">
        <v>857</v>
      </c>
      <c r="W18" s="410" t="s">
        <v>856</v>
      </c>
      <c r="X18" s="406" t="s">
        <v>858</v>
      </c>
      <c r="Y18" s="406" t="s">
        <v>859</v>
      </c>
      <c r="Z18" s="406" t="s">
        <v>860</v>
      </c>
    </row>
    <row r="19" spans="2:26" ht="54" x14ac:dyDescent="0.25">
      <c r="B19" s="401" t="s">
        <v>833</v>
      </c>
      <c r="C19" s="408" t="s">
        <v>861</v>
      </c>
      <c r="D19" s="403" t="s">
        <v>862</v>
      </c>
      <c r="E19" s="404">
        <v>71206212</v>
      </c>
      <c r="F19" s="404"/>
      <c r="G19" s="404"/>
      <c r="H19" s="404"/>
      <c r="I19" s="404"/>
      <c r="J19" s="404">
        <v>-2000000</v>
      </c>
      <c r="K19" s="404">
        <v>-393722.8</v>
      </c>
      <c r="L19" s="404"/>
      <c r="M19" s="404">
        <f>+Tabla14[[#This Row],[Escenario 5: Monto ajustado aprobado por la CGR]]+Tabla14[[#This Row],[Modificación 01-2021]]+Tabla14[[#This Row],[MN01-2021]]+Tabla14[[#This Row],[MN02-2022]]+Tabla14[[#This Row],[Modificación 02-2021]]+Tabla14[[#This Row],[Modificación 03-2021]]+Tabla14[[#This Row],[PE-01-2021]]+Tabla14[[#This Row],[MN03-20221]]</f>
        <v>68812489.200000003</v>
      </c>
      <c r="N19" s="404"/>
      <c r="O19" s="404"/>
      <c r="P19" s="404">
        <v>30205233.34</v>
      </c>
      <c r="Q19" s="404">
        <f>+Tabla14[[#This Row],[Presupuesto total]]-Tabla14[[#This Row],[Resevas]]-Tabla14[[#This Row],[Compromisos ]]-Tabla14[[#This Row],[Ejecutado]]</f>
        <v>38607255.859999999</v>
      </c>
      <c r="R19" s="405" t="s">
        <v>15</v>
      </c>
      <c r="S19" s="405" t="s">
        <v>836</v>
      </c>
      <c r="T19" s="405" t="s">
        <v>837</v>
      </c>
      <c r="U19" s="406" t="s">
        <v>838</v>
      </c>
      <c r="V19" s="407" t="s">
        <v>839</v>
      </c>
      <c r="W19" s="406" t="s">
        <v>838</v>
      </c>
      <c r="X19" s="407" t="s">
        <v>840</v>
      </c>
      <c r="Y19" s="411" t="s">
        <v>863</v>
      </c>
      <c r="Z19" s="411"/>
    </row>
    <row r="20" spans="2:26" ht="40.5" x14ac:dyDescent="0.25">
      <c r="B20" s="401" t="s">
        <v>833</v>
      </c>
      <c r="C20" s="408" t="s">
        <v>861</v>
      </c>
      <c r="D20" s="403" t="s">
        <v>862</v>
      </c>
      <c r="E20" s="404">
        <v>64878924</v>
      </c>
      <c r="F20" s="404"/>
      <c r="G20" s="404"/>
      <c r="H20" s="404"/>
      <c r="I20" s="404"/>
      <c r="J20" s="404">
        <v>-500000</v>
      </c>
      <c r="K20" s="404"/>
      <c r="L20" s="404"/>
      <c r="M20" s="404">
        <f>+Tabla14[[#This Row],[Escenario 5: Monto ajustado aprobado por la CGR]]+Tabla14[[#This Row],[Modificación 01-2021]]+Tabla14[[#This Row],[MN01-2021]]+Tabla14[[#This Row],[MN02-2022]]+Tabla14[[#This Row],[Modificación 02-2021]]+Tabla14[[#This Row],[Modificación 03-2021]]+Tabla14[[#This Row],[PE-01-2021]]+Tabla14[[#This Row],[MN03-20221]]</f>
        <v>64378924</v>
      </c>
      <c r="N20" s="404"/>
      <c r="O20" s="404"/>
      <c r="P20" s="404">
        <v>30748362.300000001</v>
      </c>
      <c r="Q20" s="404">
        <f>+Tabla14[[#This Row],[Presupuesto total]]-Tabla14[[#This Row],[Resevas]]-Tabla14[[#This Row],[Compromisos ]]-Tabla14[[#This Row],[Ejecutado]]</f>
        <v>33630561.700000003</v>
      </c>
      <c r="R20" s="405" t="s">
        <v>15</v>
      </c>
      <c r="S20" s="405" t="s">
        <v>842</v>
      </c>
      <c r="T20" s="405" t="s">
        <v>843</v>
      </c>
      <c r="U20" s="406" t="s">
        <v>844</v>
      </c>
      <c r="V20" s="407" t="s">
        <v>845</v>
      </c>
      <c r="W20" s="406" t="s">
        <v>846</v>
      </c>
      <c r="X20" s="407" t="s">
        <v>847</v>
      </c>
      <c r="Y20" s="411" t="s">
        <v>864</v>
      </c>
      <c r="Z20" s="411"/>
    </row>
    <row r="21" spans="2:26" ht="54" x14ac:dyDescent="0.25">
      <c r="B21" s="401" t="s">
        <v>833</v>
      </c>
      <c r="C21" s="408" t="s">
        <v>861</v>
      </c>
      <c r="D21" s="403" t="s">
        <v>865</v>
      </c>
      <c r="E21" s="404">
        <v>76985910</v>
      </c>
      <c r="F21" s="404"/>
      <c r="G21" s="404"/>
      <c r="H21" s="404"/>
      <c r="I21" s="404"/>
      <c r="J21" s="404">
        <v>-1000000</v>
      </c>
      <c r="K21" s="404"/>
      <c r="L21" s="404"/>
      <c r="M21" s="404">
        <f>+Tabla14[[#This Row],[Escenario 5: Monto ajustado aprobado por la CGR]]+Tabla14[[#This Row],[Modificación 01-2021]]+Tabla14[[#This Row],[MN01-2021]]+Tabla14[[#This Row],[MN02-2022]]+Tabla14[[#This Row],[Modificación 02-2021]]+Tabla14[[#This Row],[Modificación 03-2021]]+Tabla14[[#This Row],[PE-01-2021]]+Tabla14[[#This Row],[MN03-20221]]</f>
        <v>75985910</v>
      </c>
      <c r="N21" s="404"/>
      <c r="O21" s="404"/>
      <c r="P21" s="404">
        <v>34036389</v>
      </c>
      <c r="Q21" s="404">
        <f>+Tabla14[[#This Row],[Presupuesto total]]-Tabla14[[#This Row],[Resevas]]-Tabla14[[#This Row],[Compromisos ]]-Tabla14[[#This Row],[Ejecutado]]</f>
        <v>41949521</v>
      </c>
      <c r="R21" s="405" t="s">
        <v>15</v>
      </c>
      <c r="S21" s="405" t="s">
        <v>836</v>
      </c>
      <c r="T21" s="405" t="s">
        <v>837</v>
      </c>
      <c r="U21" s="406" t="s">
        <v>838</v>
      </c>
      <c r="V21" s="407" t="s">
        <v>839</v>
      </c>
      <c r="W21" s="406" t="s">
        <v>838</v>
      </c>
      <c r="X21" s="407" t="s">
        <v>840</v>
      </c>
      <c r="Y21" s="401" t="s">
        <v>866</v>
      </c>
      <c r="Z21" s="401"/>
    </row>
    <row r="22" spans="2:26" ht="40.5" x14ac:dyDescent="0.25">
      <c r="B22" s="401" t="s">
        <v>833</v>
      </c>
      <c r="C22" s="408" t="s">
        <v>861</v>
      </c>
      <c r="D22" s="403" t="s">
        <v>865</v>
      </c>
      <c r="E22" s="404">
        <v>73066170</v>
      </c>
      <c r="F22" s="404"/>
      <c r="G22" s="404"/>
      <c r="H22" s="404"/>
      <c r="I22" s="404"/>
      <c r="J22" s="404">
        <v>-2000000</v>
      </c>
      <c r="K22" s="404">
        <v>-2500000</v>
      </c>
      <c r="L22" s="404"/>
      <c r="M22" s="404">
        <f>+Tabla14[[#This Row],[Escenario 5: Monto ajustado aprobado por la CGR]]+Tabla14[[#This Row],[Modificación 01-2021]]+Tabla14[[#This Row],[MN01-2021]]+Tabla14[[#This Row],[MN02-2022]]+Tabla14[[#This Row],[Modificación 02-2021]]+Tabla14[[#This Row],[Modificación 03-2021]]+Tabla14[[#This Row],[PE-01-2021]]+Tabla14[[#This Row],[MN03-20221]]</f>
        <v>68566170</v>
      </c>
      <c r="N22" s="404"/>
      <c r="O22" s="404"/>
      <c r="P22" s="404">
        <v>31420558.289999999</v>
      </c>
      <c r="Q22" s="404">
        <f>+Tabla14[[#This Row],[Presupuesto total]]-Tabla14[[#This Row],[Resevas]]-Tabla14[[#This Row],[Compromisos ]]-Tabla14[[#This Row],[Ejecutado]]</f>
        <v>37145611.710000001</v>
      </c>
      <c r="R22" s="405" t="s">
        <v>15</v>
      </c>
      <c r="S22" s="405" t="s">
        <v>842</v>
      </c>
      <c r="T22" s="405" t="s">
        <v>843</v>
      </c>
      <c r="U22" s="406" t="s">
        <v>844</v>
      </c>
      <c r="V22" s="407" t="s">
        <v>845</v>
      </c>
      <c r="W22" s="406" t="s">
        <v>846</v>
      </c>
      <c r="X22" s="407" t="s">
        <v>847</v>
      </c>
      <c r="Y22" s="401" t="s">
        <v>867</v>
      </c>
      <c r="Z22" s="401"/>
    </row>
    <row r="23" spans="2:26" ht="54" x14ac:dyDescent="0.25">
      <c r="B23" s="401" t="s">
        <v>833</v>
      </c>
      <c r="C23" s="408" t="s">
        <v>861</v>
      </c>
      <c r="D23" s="403" t="s">
        <v>868</v>
      </c>
      <c r="E23" s="404">
        <v>30553823.989999998</v>
      </c>
      <c r="F23" s="404"/>
      <c r="G23" s="404"/>
      <c r="H23" s="404"/>
      <c r="I23" s="404"/>
      <c r="J23" s="404"/>
      <c r="K23" s="404"/>
      <c r="L23" s="404"/>
      <c r="M23" s="404">
        <f>+Tabla14[[#This Row],[Escenario 5: Monto ajustado aprobado por la CGR]]+Tabla14[[#This Row],[Modificación 01-2021]]+Tabla14[[#This Row],[MN01-2021]]+Tabla14[[#This Row],[MN02-2022]]+Tabla14[[#This Row],[Modificación 02-2021]]+Tabla14[[#This Row],[Modificación 03-2021]]+Tabla14[[#This Row],[PE-01-2021]]+Tabla14[[#This Row],[MN03-20221]]</f>
        <v>30553823.989999998</v>
      </c>
      <c r="N23" s="404"/>
      <c r="O23" s="404"/>
      <c r="P23" s="404">
        <v>0</v>
      </c>
      <c r="Q23" s="404">
        <f>+Tabla14[[#This Row],[Presupuesto total]]-Tabla14[[#This Row],[Resevas]]-Tabla14[[#This Row],[Compromisos ]]-Tabla14[[#This Row],[Ejecutado]]</f>
        <v>30553823.989999998</v>
      </c>
      <c r="R23" s="405" t="s">
        <v>15</v>
      </c>
      <c r="S23" s="405" t="s">
        <v>836</v>
      </c>
      <c r="T23" s="405" t="s">
        <v>837</v>
      </c>
      <c r="U23" s="406" t="s">
        <v>838</v>
      </c>
      <c r="V23" s="407" t="s">
        <v>839</v>
      </c>
      <c r="W23" s="406" t="s">
        <v>838</v>
      </c>
      <c r="X23" s="407" t="s">
        <v>840</v>
      </c>
      <c r="Y23" s="401" t="s">
        <v>869</v>
      </c>
      <c r="Z23" s="401"/>
    </row>
    <row r="24" spans="2:26" ht="40.5" x14ac:dyDescent="0.25">
      <c r="B24" s="401" t="s">
        <v>833</v>
      </c>
      <c r="C24" s="408" t="s">
        <v>861</v>
      </c>
      <c r="D24" s="403" t="s">
        <v>868</v>
      </c>
      <c r="E24" s="404">
        <v>34179769.380000003</v>
      </c>
      <c r="F24" s="404"/>
      <c r="G24" s="404"/>
      <c r="H24" s="404"/>
      <c r="I24" s="404"/>
      <c r="J24" s="404"/>
      <c r="K24" s="404"/>
      <c r="L24" s="404"/>
      <c r="M24" s="404">
        <f>+Tabla14[[#This Row],[Escenario 5: Monto ajustado aprobado por la CGR]]+Tabla14[[#This Row],[Modificación 01-2021]]+Tabla14[[#This Row],[MN01-2021]]+Tabla14[[#This Row],[MN02-2022]]+Tabla14[[#This Row],[Modificación 02-2021]]+Tabla14[[#This Row],[Modificación 03-2021]]+Tabla14[[#This Row],[PE-01-2021]]+Tabla14[[#This Row],[MN03-20221]]</f>
        <v>34179769.380000003</v>
      </c>
      <c r="N24" s="404"/>
      <c r="O24" s="404"/>
      <c r="P24" s="404">
        <v>0</v>
      </c>
      <c r="Q24" s="404">
        <f>+Tabla14[[#This Row],[Presupuesto total]]-Tabla14[[#This Row],[Resevas]]-Tabla14[[#This Row],[Compromisos ]]-Tabla14[[#This Row],[Ejecutado]]</f>
        <v>34179769.380000003</v>
      </c>
      <c r="R24" s="405" t="s">
        <v>15</v>
      </c>
      <c r="S24" s="405" t="s">
        <v>842</v>
      </c>
      <c r="T24" s="405" t="s">
        <v>843</v>
      </c>
      <c r="U24" s="406" t="s">
        <v>844</v>
      </c>
      <c r="V24" s="407" t="s">
        <v>845</v>
      </c>
      <c r="W24" s="406" t="s">
        <v>846</v>
      </c>
      <c r="X24" s="407" t="s">
        <v>847</v>
      </c>
      <c r="Y24" s="401" t="s">
        <v>870</v>
      </c>
      <c r="Z24" s="401"/>
    </row>
    <row r="25" spans="2:26" ht="54" x14ac:dyDescent="0.25">
      <c r="B25" s="401" t="s">
        <v>833</v>
      </c>
      <c r="C25" s="408" t="s">
        <v>861</v>
      </c>
      <c r="D25" s="403" t="s">
        <v>871</v>
      </c>
      <c r="E25" s="404">
        <v>28193115.91</v>
      </c>
      <c r="F25" s="404"/>
      <c r="G25" s="404"/>
      <c r="H25" s="404"/>
      <c r="I25" s="404">
        <v>-2200000</v>
      </c>
      <c r="J25" s="404"/>
      <c r="K25" s="404"/>
      <c r="L25" s="404"/>
      <c r="M25" s="404">
        <f>+Tabla14[[#This Row],[Escenario 5: Monto ajustado aprobado por la CGR]]+Tabla14[[#This Row],[Modificación 01-2021]]+Tabla14[[#This Row],[MN01-2021]]+Tabla14[[#This Row],[MN02-2022]]+Tabla14[[#This Row],[Modificación 02-2021]]+Tabla14[[#This Row],[Modificación 03-2021]]+Tabla14[[#This Row],[PE-01-2021]]+Tabla14[[#This Row],[MN03-20221]]</f>
        <v>25993115.91</v>
      </c>
      <c r="N25" s="404"/>
      <c r="O25" s="404"/>
      <c r="P25" s="404">
        <v>25974267.420000002</v>
      </c>
      <c r="Q25" s="404">
        <f>+Tabla14[[#This Row],[Presupuesto total]]-Tabla14[[#This Row],[Resevas]]-Tabla14[[#This Row],[Compromisos ]]-Tabla14[[#This Row],[Ejecutado]]</f>
        <v>18848.489999998361</v>
      </c>
      <c r="R25" s="405" t="s">
        <v>15</v>
      </c>
      <c r="S25" s="405" t="s">
        <v>836</v>
      </c>
      <c r="T25" s="405" t="s">
        <v>837</v>
      </c>
      <c r="U25" s="406" t="s">
        <v>838</v>
      </c>
      <c r="V25" s="407" t="s">
        <v>839</v>
      </c>
      <c r="W25" s="406" t="s">
        <v>838</v>
      </c>
      <c r="X25" s="407" t="s">
        <v>840</v>
      </c>
      <c r="Y25" s="401" t="s">
        <v>872</v>
      </c>
      <c r="Z25" s="401"/>
    </row>
    <row r="26" spans="2:26" ht="40.5" x14ac:dyDescent="0.25">
      <c r="B26" s="401" t="s">
        <v>833</v>
      </c>
      <c r="C26" s="408" t="s">
        <v>861</v>
      </c>
      <c r="D26" s="403" t="s">
        <v>871</v>
      </c>
      <c r="E26" s="404">
        <v>31538906.559999999</v>
      </c>
      <c r="F26" s="404"/>
      <c r="G26" s="404"/>
      <c r="H26" s="404"/>
      <c r="I26" s="404">
        <v>-500000</v>
      </c>
      <c r="J26" s="404">
        <v>-2430000</v>
      </c>
      <c r="K26" s="404"/>
      <c r="L26" s="404"/>
      <c r="M26" s="404">
        <f>+Tabla14[[#This Row],[Escenario 5: Monto ajustado aprobado por la CGR]]+Tabla14[[#This Row],[Modificación 01-2021]]+Tabla14[[#This Row],[MN01-2021]]+Tabla14[[#This Row],[MN02-2022]]+Tabla14[[#This Row],[Modificación 02-2021]]+Tabla14[[#This Row],[Modificación 03-2021]]+Tabla14[[#This Row],[PE-01-2021]]+Tabla14[[#This Row],[MN03-20221]]</f>
        <v>28608906.559999999</v>
      </c>
      <c r="N26" s="404"/>
      <c r="O26" s="404"/>
      <c r="P26" s="404">
        <v>28608521.300000001</v>
      </c>
      <c r="Q26" s="404">
        <f>+Tabla14[[#This Row],[Presupuesto total]]-Tabla14[[#This Row],[Resevas]]-Tabla14[[#This Row],[Compromisos ]]-Tabla14[[#This Row],[Ejecutado]]</f>
        <v>385.25999999791384</v>
      </c>
      <c r="R26" s="405" t="s">
        <v>15</v>
      </c>
      <c r="S26" s="405" t="s">
        <v>842</v>
      </c>
      <c r="T26" s="405" t="s">
        <v>843</v>
      </c>
      <c r="U26" s="406" t="s">
        <v>844</v>
      </c>
      <c r="V26" s="407" t="s">
        <v>845</v>
      </c>
      <c r="W26" s="406" t="s">
        <v>846</v>
      </c>
      <c r="X26" s="407" t="s">
        <v>847</v>
      </c>
      <c r="Y26" s="401" t="s">
        <v>873</v>
      </c>
      <c r="Z26" s="401"/>
    </row>
    <row r="27" spans="2:26" ht="54" x14ac:dyDescent="0.25">
      <c r="B27" s="401" t="s">
        <v>833</v>
      </c>
      <c r="C27" s="408" t="s">
        <v>861</v>
      </c>
      <c r="D27" s="403" t="s">
        <v>874</v>
      </c>
      <c r="E27" s="404">
        <v>28298850</v>
      </c>
      <c r="F27" s="404"/>
      <c r="G27" s="404"/>
      <c r="H27" s="404"/>
      <c r="I27" s="404"/>
      <c r="J27" s="404">
        <v>-2000000</v>
      </c>
      <c r="K27" s="404">
        <v>-2000000</v>
      </c>
      <c r="L27" s="404"/>
      <c r="M27" s="404">
        <f>+Tabla14[[#This Row],[Escenario 5: Monto ajustado aprobado por la CGR]]+Tabla14[[#This Row],[Modificación 01-2021]]+Tabla14[[#This Row],[MN01-2021]]+Tabla14[[#This Row],[MN02-2022]]+Tabla14[[#This Row],[Modificación 02-2021]]+Tabla14[[#This Row],[Modificación 03-2021]]+Tabla14[[#This Row],[PE-01-2021]]+Tabla14[[#This Row],[MN03-20221]]</f>
        <v>24298850</v>
      </c>
      <c r="N27" s="404"/>
      <c r="O27" s="404"/>
      <c r="P27" s="404">
        <v>10578087.4</v>
      </c>
      <c r="Q27" s="404">
        <f>+Tabla14[[#This Row],[Presupuesto total]]-Tabla14[[#This Row],[Resevas]]-Tabla14[[#This Row],[Compromisos ]]-Tabla14[[#This Row],[Ejecutado]]</f>
        <v>13720762.6</v>
      </c>
      <c r="R27" s="405" t="s">
        <v>15</v>
      </c>
      <c r="S27" s="405" t="s">
        <v>836</v>
      </c>
      <c r="T27" s="405" t="s">
        <v>837</v>
      </c>
      <c r="U27" s="406" t="s">
        <v>838</v>
      </c>
      <c r="V27" s="407" t="s">
        <v>839</v>
      </c>
      <c r="W27" s="406" t="s">
        <v>838</v>
      </c>
      <c r="X27" s="407" t="s">
        <v>840</v>
      </c>
      <c r="Y27" s="401" t="s">
        <v>875</v>
      </c>
      <c r="Z27" s="401"/>
    </row>
    <row r="28" spans="2:26" ht="40.5" x14ac:dyDescent="0.25">
      <c r="B28" s="401" t="s">
        <v>833</v>
      </c>
      <c r="C28" s="408" t="s">
        <v>861</v>
      </c>
      <c r="D28" s="403" t="s">
        <v>874</v>
      </c>
      <c r="E28" s="404">
        <v>20523000</v>
      </c>
      <c r="F28" s="404"/>
      <c r="G28" s="404"/>
      <c r="H28" s="404"/>
      <c r="I28" s="404"/>
      <c r="J28" s="404"/>
      <c r="K28" s="404">
        <v>-500000</v>
      </c>
      <c r="L28" s="404"/>
      <c r="M28" s="404">
        <f>+Tabla14[[#This Row],[Escenario 5: Monto ajustado aprobado por la CGR]]+Tabla14[[#This Row],[Modificación 01-2021]]+Tabla14[[#This Row],[MN01-2021]]+Tabla14[[#This Row],[MN02-2022]]+Tabla14[[#This Row],[Modificación 02-2021]]+Tabla14[[#This Row],[Modificación 03-2021]]+Tabla14[[#This Row],[PE-01-2021]]+Tabla14[[#This Row],[MN03-20221]]</f>
        <v>20023000</v>
      </c>
      <c r="N28" s="404"/>
      <c r="O28" s="404"/>
      <c r="P28" s="404">
        <v>8684001.4700000007</v>
      </c>
      <c r="Q28" s="404">
        <f>+Tabla14[[#This Row],[Presupuesto total]]-Tabla14[[#This Row],[Resevas]]-Tabla14[[#This Row],[Compromisos ]]-Tabla14[[#This Row],[Ejecutado]]</f>
        <v>11338998.529999999</v>
      </c>
      <c r="R28" s="405" t="s">
        <v>15</v>
      </c>
      <c r="S28" s="405" t="s">
        <v>842</v>
      </c>
      <c r="T28" s="405" t="s">
        <v>843</v>
      </c>
      <c r="U28" s="406" t="s">
        <v>844</v>
      </c>
      <c r="V28" s="407" t="s">
        <v>845</v>
      </c>
      <c r="W28" s="406" t="s">
        <v>846</v>
      </c>
      <c r="X28" s="407" t="s">
        <v>847</v>
      </c>
      <c r="Y28" s="401" t="s">
        <v>876</v>
      </c>
      <c r="Z28" s="401"/>
    </row>
    <row r="29" spans="2:26" ht="67.5" x14ac:dyDescent="0.25">
      <c r="B29" s="401" t="s">
        <v>833</v>
      </c>
      <c r="C29" s="412" t="s">
        <v>877</v>
      </c>
      <c r="D29" s="403" t="s">
        <v>878</v>
      </c>
      <c r="E29" s="404">
        <v>33914744.630000003</v>
      </c>
      <c r="F29" s="404"/>
      <c r="G29" s="404"/>
      <c r="H29" s="404"/>
      <c r="I29" s="404"/>
      <c r="J29" s="404"/>
      <c r="K29" s="404"/>
      <c r="L29" s="404"/>
      <c r="M29" s="404">
        <f>+Tabla14[[#This Row],[Escenario 5: Monto ajustado aprobado por la CGR]]+Tabla14[[#This Row],[Modificación 01-2021]]+Tabla14[[#This Row],[MN01-2021]]+Tabla14[[#This Row],[MN02-2022]]+Tabla14[[#This Row],[Modificación 02-2021]]+Tabla14[[#This Row],[Modificación 03-2021]]+Tabla14[[#This Row],[PE-01-2021]]+Tabla14[[#This Row],[MN03-20221]]</f>
        <v>33914744.630000003</v>
      </c>
      <c r="N29" s="404"/>
      <c r="O29" s="404"/>
      <c r="P29" s="404">
        <v>15849753.199999999</v>
      </c>
      <c r="Q29" s="404">
        <f>+Tabla14[[#This Row],[Presupuesto total]]-Tabla14[[#This Row],[Resevas]]-Tabla14[[#This Row],[Compromisos ]]-Tabla14[[#This Row],[Ejecutado]]</f>
        <v>18064991.430000003</v>
      </c>
      <c r="R29" s="405" t="s">
        <v>15</v>
      </c>
      <c r="S29" s="405" t="s">
        <v>836</v>
      </c>
      <c r="T29" s="405" t="s">
        <v>837</v>
      </c>
      <c r="U29" s="406" t="s">
        <v>838</v>
      </c>
      <c r="V29" s="407" t="s">
        <v>839</v>
      </c>
      <c r="W29" s="406" t="s">
        <v>838</v>
      </c>
      <c r="X29" s="407" t="s">
        <v>840</v>
      </c>
      <c r="Y29" s="411" t="s">
        <v>879</v>
      </c>
      <c r="Z29" s="411"/>
    </row>
    <row r="30" spans="2:26" ht="67.5" x14ac:dyDescent="0.25">
      <c r="B30" s="401" t="s">
        <v>833</v>
      </c>
      <c r="C30" s="412" t="s">
        <v>877</v>
      </c>
      <c r="D30" s="403" t="s">
        <v>878</v>
      </c>
      <c r="E30" s="404">
        <v>37939544.009999998</v>
      </c>
      <c r="F30" s="404"/>
      <c r="G30" s="404"/>
      <c r="H30" s="404"/>
      <c r="I30" s="404"/>
      <c r="J30" s="404"/>
      <c r="K30" s="404"/>
      <c r="L30" s="404"/>
      <c r="M30" s="404">
        <f>+Tabla14[[#This Row],[Escenario 5: Monto ajustado aprobado por la CGR]]+Tabla14[[#This Row],[Modificación 01-2021]]+Tabla14[[#This Row],[MN01-2021]]+Tabla14[[#This Row],[MN02-2022]]+Tabla14[[#This Row],[Modificación 02-2021]]+Tabla14[[#This Row],[Modificación 03-2021]]+Tabla14[[#This Row],[PE-01-2021]]+Tabla14[[#This Row],[MN03-20221]]</f>
        <v>37939544.009999998</v>
      </c>
      <c r="N30" s="404"/>
      <c r="O30" s="404"/>
      <c r="P30" s="404">
        <v>20801186.710000001</v>
      </c>
      <c r="Q30" s="404">
        <f>+Tabla14[[#This Row],[Presupuesto total]]-Tabla14[[#This Row],[Resevas]]-Tabla14[[#This Row],[Compromisos ]]-Tabla14[[#This Row],[Ejecutado]]</f>
        <v>17138357.299999997</v>
      </c>
      <c r="R30" s="405" t="s">
        <v>15</v>
      </c>
      <c r="S30" s="405" t="s">
        <v>842</v>
      </c>
      <c r="T30" s="405" t="s">
        <v>843</v>
      </c>
      <c r="U30" s="406" t="s">
        <v>844</v>
      </c>
      <c r="V30" s="407" t="s">
        <v>845</v>
      </c>
      <c r="W30" s="406" t="s">
        <v>846</v>
      </c>
      <c r="X30" s="407" t="s">
        <v>847</v>
      </c>
      <c r="Y30" s="411" t="s">
        <v>880</v>
      </c>
      <c r="Z30" s="411"/>
    </row>
    <row r="31" spans="2:26" ht="67.5" x14ac:dyDescent="0.25">
      <c r="B31" s="401" t="s">
        <v>833</v>
      </c>
      <c r="C31" s="412" t="s">
        <v>877</v>
      </c>
      <c r="D31" s="403" t="s">
        <v>881</v>
      </c>
      <c r="E31" s="404">
        <v>5499688.3200000003</v>
      </c>
      <c r="F31" s="404"/>
      <c r="G31" s="404"/>
      <c r="H31" s="404"/>
      <c r="I31" s="404"/>
      <c r="J31" s="404"/>
      <c r="K31" s="404"/>
      <c r="L31" s="404"/>
      <c r="M31" s="404">
        <f>+Tabla14[[#This Row],[Escenario 5: Monto ajustado aprobado por la CGR]]+Tabla14[[#This Row],[Modificación 01-2021]]+Tabla14[[#This Row],[MN01-2021]]+Tabla14[[#This Row],[MN02-2022]]+Tabla14[[#This Row],[Modificación 02-2021]]+Tabla14[[#This Row],[Modificación 03-2021]]+Tabla14[[#This Row],[PE-01-2021]]+Tabla14[[#This Row],[MN03-20221]]</f>
        <v>5499688.3200000003</v>
      </c>
      <c r="N31" s="404"/>
      <c r="O31" s="404"/>
      <c r="P31" s="404">
        <v>2570019.4900000002</v>
      </c>
      <c r="Q31" s="404">
        <f>+Tabla14[[#This Row],[Presupuesto total]]-Tabla14[[#This Row],[Resevas]]-Tabla14[[#This Row],[Compromisos ]]-Tabla14[[#This Row],[Ejecutado]]</f>
        <v>2929668.83</v>
      </c>
      <c r="R31" s="405" t="s">
        <v>15</v>
      </c>
      <c r="S31" s="405" t="s">
        <v>836</v>
      </c>
      <c r="T31" s="405" t="s">
        <v>837</v>
      </c>
      <c r="U31" s="406" t="s">
        <v>838</v>
      </c>
      <c r="V31" s="407" t="s">
        <v>839</v>
      </c>
      <c r="W31" s="406" t="s">
        <v>838</v>
      </c>
      <c r="X31" s="407" t="s">
        <v>840</v>
      </c>
      <c r="Y31" s="411" t="s">
        <v>882</v>
      </c>
      <c r="Z31" s="411"/>
    </row>
    <row r="32" spans="2:26" ht="67.5" x14ac:dyDescent="0.25">
      <c r="B32" s="401" t="s">
        <v>833</v>
      </c>
      <c r="C32" s="412" t="s">
        <v>877</v>
      </c>
      <c r="D32" s="403" t="s">
        <v>881</v>
      </c>
      <c r="E32" s="413">
        <v>6152358.4900000002</v>
      </c>
      <c r="F32" s="413"/>
      <c r="G32" s="413"/>
      <c r="H32" s="413"/>
      <c r="I32" s="413"/>
      <c r="J32" s="413"/>
      <c r="K32" s="413"/>
      <c r="L32" s="413"/>
      <c r="M32" s="404">
        <f>+Tabla14[[#This Row],[Escenario 5: Monto ajustado aprobado por la CGR]]+Tabla14[[#This Row],[Modificación 01-2021]]+Tabla14[[#This Row],[MN01-2021]]+Tabla14[[#This Row],[MN02-2022]]+Tabla14[[#This Row],[Modificación 02-2021]]+Tabla14[[#This Row],[Modificación 03-2021]]+Tabla14[[#This Row],[PE-01-2021]]+Tabla14[[#This Row],[MN03-20221]]</f>
        <v>6152358.4900000002</v>
      </c>
      <c r="N32" s="404"/>
      <c r="O32" s="404"/>
      <c r="P32" s="404">
        <v>3353607.76</v>
      </c>
      <c r="Q32" s="404">
        <f>+Tabla14[[#This Row],[Presupuesto total]]-Tabla14[[#This Row],[Resevas]]-Tabla14[[#This Row],[Compromisos ]]-Tabla14[[#This Row],[Ejecutado]]</f>
        <v>2798750.7300000004</v>
      </c>
      <c r="R32" s="405" t="s">
        <v>15</v>
      </c>
      <c r="S32" s="405" t="s">
        <v>842</v>
      </c>
      <c r="T32" s="405" t="s">
        <v>843</v>
      </c>
      <c r="U32" s="406" t="s">
        <v>844</v>
      </c>
      <c r="V32" s="407" t="s">
        <v>845</v>
      </c>
      <c r="W32" s="406" t="s">
        <v>846</v>
      </c>
      <c r="X32" s="407" t="s">
        <v>847</v>
      </c>
      <c r="Y32" s="411" t="s">
        <v>883</v>
      </c>
      <c r="Z32" s="411"/>
    </row>
    <row r="33" spans="2:26" ht="67.5" x14ac:dyDescent="0.25">
      <c r="B33" s="401" t="s">
        <v>833</v>
      </c>
      <c r="C33" s="412" t="s">
        <v>877</v>
      </c>
      <c r="D33" s="403" t="s">
        <v>884</v>
      </c>
      <c r="E33" s="413">
        <v>18332294.399999999</v>
      </c>
      <c r="F33" s="413"/>
      <c r="G33" s="413"/>
      <c r="H33" s="413"/>
      <c r="I33" s="413"/>
      <c r="J33" s="413"/>
      <c r="K33" s="413"/>
      <c r="L33" s="413"/>
      <c r="M33" s="404">
        <f>+Tabla14[[#This Row],[Escenario 5: Monto ajustado aprobado por la CGR]]+Tabla14[[#This Row],[Modificación 01-2021]]+Tabla14[[#This Row],[MN01-2021]]+Tabla14[[#This Row],[MN02-2022]]+Tabla14[[#This Row],[Modificación 02-2021]]+Tabla14[[#This Row],[Modificación 03-2021]]+Tabla14[[#This Row],[PE-01-2021]]+Tabla14[[#This Row],[MN03-20221]]</f>
        <v>18332294.399999999</v>
      </c>
      <c r="N33" s="404"/>
      <c r="O33" s="404"/>
      <c r="P33" s="404">
        <v>8566732.6099999994</v>
      </c>
      <c r="Q33" s="404">
        <f>+Tabla14[[#This Row],[Presupuesto total]]-Tabla14[[#This Row],[Resevas]]-Tabla14[[#This Row],[Compromisos ]]-Tabla14[[#This Row],[Ejecutado]]</f>
        <v>9765561.7899999991</v>
      </c>
      <c r="R33" s="405" t="s">
        <v>15</v>
      </c>
      <c r="S33" s="405" t="s">
        <v>836</v>
      </c>
      <c r="T33" s="405" t="s">
        <v>837</v>
      </c>
      <c r="U33" s="406" t="s">
        <v>838</v>
      </c>
      <c r="V33" s="407" t="s">
        <v>839</v>
      </c>
      <c r="W33" s="406" t="s">
        <v>838</v>
      </c>
      <c r="X33" s="407" t="s">
        <v>840</v>
      </c>
      <c r="Y33" s="411" t="s">
        <v>885</v>
      </c>
      <c r="Z33" s="411"/>
    </row>
    <row r="34" spans="2:26" ht="67.5" x14ac:dyDescent="0.25">
      <c r="B34" s="401" t="s">
        <v>833</v>
      </c>
      <c r="C34" s="412" t="s">
        <v>877</v>
      </c>
      <c r="D34" s="403" t="s">
        <v>884</v>
      </c>
      <c r="E34" s="413">
        <v>20507861.629999999</v>
      </c>
      <c r="F34" s="413"/>
      <c r="G34" s="413"/>
      <c r="H34" s="413"/>
      <c r="I34" s="413"/>
      <c r="J34" s="413"/>
      <c r="K34" s="413"/>
      <c r="L34" s="413"/>
      <c r="M34" s="404">
        <f>+Tabla14[[#This Row],[Escenario 5: Monto ajustado aprobado por la CGR]]+Tabla14[[#This Row],[Modificación 01-2021]]+Tabla14[[#This Row],[MN01-2021]]+Tabla14[[#This Row],[MN02-2022]]+Tabla14[[#This Row],[Modificación 02-2021]]+Tabla14[[#This Row],[Modificación 03-2021]]+Tabla14[[#This Row],[PE-01-2021]]+Tabla14[[#This Row],[MN03-20221]]</f>
        <v>20507861.629999999</v>
      </c>
      <c r="N34" s="404"/>
      <c r="O34" s="404"/>
      <c r="P34" s="404">
        <v>11178713.92</v>
      </c>
      <c r="Q34" s="404">
        <f>+Tabla14[[#This Row],[Presupuesto total]]-Tabla14[[#This Row],[Resevas]]-Tabla14[[#This Row],[Compromisos ]]-Tabla14[[#This Row],[Ejecutado]]</f>
        <v>9329147.709999999</v>
      </c>
      <c r="R34" s="405" t="s">
        <v>15</v>
      </c>
      <c r="S34" s="405" t="s">
        <v>842</v>
      </c>
      <c r="T34" s="405" t="s">
        <v>843</v>
      </c>
      <c r="U34" s="406" t="s">
        <v>844</v>
      </c>
      <c r="V34" s="407" t="s">
        <v>845</v>
      </c>
      <c r="W34" s="406" t="s">
        <v>846</v>
      </c>
      <c r="X34" s="407" t="s">
        <v>847</v>
      </c>
      <c r="Y34" s="411" t="s">
        <v>886</v>
      </c>
      <c r="Z34" s="411"/>
    </row>
    <row r="35" spans="2:26" ht="67.5" x14ac:dyDescent="0.25">
      <c r="B35" s="401" t="s">
        <v>833</v>
      </c>
      <c r="C35" s="412" t="s">
        <v>877</v>
      </c>
      <c r="D35" s="403" t="s">
        <v>887</v>
      </c>
      <c r="E35" s="413">
        <v>1833229.44</v>
      </c>
      <c r="F35" s="413"/>
      <c r="G35" s="413"/>
      <c r="H35" s="413"/>
      <c r="I35" s="413"/>
      <c r="J35" s="413"/>
      <c r="K35" s="413"/>
      <c r="L35" s="413"/>
      <c r="M35" s="404">
        <f>+Tabla14[[#This Row],[Escenario 5: Monto ajustado aprobado por la CGR]]+Tabla14[[#This Row],[Modificación 01-2021]]+Tabla14[[#This Row],[MN01-2021]]+Tabla14[[#This Row],[MN02-2022]]+Tabla14[[#This Row],[Modificación 02-2021]]+Tabla14[[#This Row],[Modificación 03-2021]]+Tabla14[[#This Row],[PE-01-2021]]+Tabla14[[#This Row],[MN03-20221]]</f>
        <v>1833229.44</v>
      </c>
      <c r="N35" s="404"/>
      <c r="O35" s="404"/>
      <c r="P35" s="404">
        <v>856673.5</v>
      </c>
      <c r="Q35" s="404">
        <f>+Tabla14[[#This Row],[Presupuesto total]]-Tabla14[[#This Row],[Resevas]]-Tabla14[[#This Row],[Compromisos ]]-Tabla14[[#This Row],[Ejecutado]]</f>
        <v>976555.94</v>
      </c>
      <c r="R35" s="405" t="s">
        <v>15</v>
      </c>
      <c r="S35" s="405" t="s">
        <v>836</v>
      </c>
      <c r="T35" s="405" t="s">
        <v>837</v>
      </c>
      <c r="U35" s="406" t="s">
        <v>838</v>
      </c>
      <c r="V35" s="407" t="s">
        <v>839</v>
      </c>
      <c r="W35" s="406" t="s">
        <v>838</v>
      </c>
      <c r="X35" s="407" t="s">
        <v>840</v>
      </c>
      <c r="Y35" s="411" t="s">
        <v>888</v>
      </c>
      <c r="Z35" s="411"/>
    </row>
    <row r="36" spans="2:26" ht="67.5" x14ac:dyDescent="0.25">
      <c r="B36" s="401" t="s">
        <v>833</v>
      </c>
      <c r="C36" s="412" t="s">
        <v>877</v>
      </c>
      <c r="D36" s="403" t="s">
        <v>887</v>
      </c>
      <c r="E36" s="413">
        <v>2050786.16</v>
      </c>
      <c r="F36" s="413"/>
      <c r="G36" s="413"/>
      <c r="H36" s="413"/>
      <c r="I36" s="413"/>
      <c r="J36" s="413"/>
      <c r="K36" s="413"/>
      <c r="L36" s="413"/>
      <c r="M36" s="404">
        <f>+Tabla14[[#This Row],[Escenario 5: Monto ajustado aprobado por la CGR]]+Tabla14[[#This Row],[Modificación 01-2021]]+Tabla14[[#This Row],[MN01-2021]]+Tabla14[[#This Row],[MN02-2022]]+Tabla14[[#This Row],[Modificación 02-2021]]+Tabla14[[#This Row],[Modificación 03-2021]]+Tabla14[[#This Row],[PE-01-2021]]+Tabla14[[#This Row],[MN03-20221]]</f>
        <v>2050786.16</v>
      </c>
      <c r="N36" s="404"/>
      <c r="O36" s="404"/>
      <c r="P36" s="404">
        <v>1117862.68</v>
      </c>
      <c r="Q36" s="404">
        <f>+Tabla14[[#This Row],[Presupuesto total]]-Tabla14[[#This Row],[Resevas]]-Tabla14[[#This Row],[Compromisos ]]-Tabla14[[#This Row],[Ejecutado]]</f>
        <v>932923.48</v>
      </c>
      <c r="R36" s="405" t="s">
        <v>15</v>
      </c>
      <c r="S36" s="405" t="s">
        <v>842</v>
      </c>
      <c r="T36" s="405" t="s">
        <v>843</v>
      </c>
      <c r="U36" s="406" t="s">
        <v>844</v>
      </c>
      <c r="V36" s="407" t="s">
        <v>845</v>
      </c>
      <c r="W36" s="406" t="s">
        <v>846</v>
      </c>
      <c r="X36" s="407" t="s">
        <v>847</v>
      </c>
      <c r="Y36" s="411" t="s">
        <v>889</v>
      </c>
      <c r="Z36" s="411"/>
    </row>
    <row r="37" spans="2:26" ht="94.5" x14ac:dyDescent="0.25">
      <c r="B37" s="401" t="s">
        <v>833</v>
      </c>
      <c r="C37" s="412" t="s">
        <v>890</v>
      </c>
      <c r="D37" s="403" t="s">
        <v>891</v>
      </c>
      <c r="E37" s="413">
        <v>19248909.120000001</v>
      </c>
      <c r="F37" s="413"/>
      <c r="G37" s="413"/>
      <c r="H37" s="413"/>
      <c r="I37" s="413"/>
      <c r="J37" s="413"/>
      <c r="K37" s="413"/>
      <c r="L37" s="413"/>
      <c r="M37" s="404">
        <f>+Tabla14[[#This Row],[Escenario 5: Monto ajustado aprobado por la CGR]]+Tabla14[[#This Row],[Modificación 01-2021]]+Tabla14[[#This Row],[MN01-2021]]+Tabla14[[#This Row],[MN02-2022]]+Tabla14[[#This Row],[Modificación 02-2021]]+Tabla14[[#This Row],[Modificación 03-2021]]+Tabla14[[#This Row],[PE-01-2021]]+Tabla14[[#This Row],[MN03-20221]]</f>
        <v>19248909.120000001</v>
      </c>
      <c r="N37" s="404"/>
      <c r="O37" s="404"/>
      <c r="P37" s="404">
        <v>8993768.9399999995</v>
      </c>
      <c r="Q37" s="404">
        <f>+Tabla14[[#This Row],[Presupuesto total]]-Tabla14[[#This Row],[Resevas]]-Tabla14[[#This Row],[Compromisos ]]-Tabla14[[#This Row],[Ejecutado]]</f>
        <v>10255140.180000002</v>
      </c>
      <c r="R37" s="405" t="s">
        <v>15</v>
      </c>
      <c r="S37" s="405" t="s">
        <v>836</v>
      </c>
      <c r="T37" s="405" t="s">
        <v>837</v>
      </c>
      <c r="U37" s="406" t="s">
        <v>838</v>
      </c>
      <c r="V37" s="407" t="s">
        <v>839</v>
      </c>
      <c r="W37" s="406" t="s">
        <v>838</v>
      </c>
      <c r="X37" s="407" t="s">
        <v>840</v>
      </c>
      <c r="Y37" s="411" t="s">
        <v>892</v>
      </c>
      <c r="Z37" s="411"/>
    </row>
    <row r="38" spans="2:26" ht="94.5" x14ac:dyDescent="0.25">
      <c r="B38" s="401" t="s">
        <v>833</v>
      </c>
      <c r="C38" s="412" t="s">
        <v>890</v>
      </c>
      <c r="D38" s="403" t="s">
        <v>891</v>
      </c>
      <c r="E38" s="413">
        <v>21533254.710000001</v>
      </c>
      <c r="F38" s="413"/>
      <c r="G38" s="413"/>
      <c r="H38" s="413"/>
      <c r="I38" s="413"/>
      <c r="J38" s="413"/>
      <c r="K38" s="413"/>
      <c r="L38" s="413"/>
      <c r="M38" s="404">
        <f>+Tabla14[[#This Row],[Escenario 5: Monto ajustado aprobado por la CGR]]+Tabla14[[#This Row],[Modificación 01-2021]]+Tabla14[[#This Row],[MN01-2021]]+Tabla14[[#This Row],[MN02-2022]]+Tabla14[[#This Row],[Modificación 02-2021]]+Tabla14[[#This Row],[Modificación 03-2021]]+Tabla14[[#This Row],[PE-01-2021]]+Tabla14[[#This Row],[MN03-20221]]</f>
        <v>21533254.710000001</v>
      </c>
      <c r="N38" s="404"/>
      <c r="O38" s="404"/>
      <c r="P38" s="404">
        <v>11581344.220000001</v>
      </c>
      <c r="Q38" s="404">
        <f>+Tabla14[[#This Row],[Presupuesto total]]-Tabla14[[#This Row],[Resevas]]-Tabla14[[#This Row],[Compromisos ]]-Tabla14[[#This Row],[Ejecutado]]</f>
        <v>9951910.4900000002</v>
      </c>
      <c r="R38" s="405" t="s">
        <v>15</v>
      </c>
      <c r="S38" s="405" t="s">
        <v>842</v>
      </c>
      <c r="T38" s="405" t="s">
        <v>843</v>
      </c>
      <c r="U38" s="406" t="s">
        <v>844</v>
      </c>
      <c r="V38" s="407" t="s">
        <v>845</v>
      </c>
      <c r="W38" s="406" t="s">
        <v>846</v>
      </c>
      <c r="X38" s="407" t="s">
        <v>847</v>
      </c>
      <c r="Y38" s="411" t="s">
        <v>893</v>
      </c>
      <c r="Z38" s="411"/>
    </row>
    <row r="39" spans="2:26" ht="94.5" x14ac:dyDescent="0.25">
      <c r="B39" s="401" t="s">
        <v>833</v>
      </c>
      <c r="C39" s="412" t="s">
        <v>890</v>
      </c>
      <c r="D39" s="403" t="s">
        <v>894</v>
      </c>
      <c r="E39" s="413">
        <v>5499688.3200000003</v>
      </c>
      <c r="F39" s="413"/>
      <c r="G39" s="413"/>
      <c r="H39" s="413"/>
      <c r="I39" s="413"/>
      <c r="J39" s="413">
        <v>4500000</v>
      </c>
      <c r="K39" s="413"/>
      <c r="L39" s="413"/>
      <c r="M39" s="404">
        <f>+Tabla14[[#This Row],[Escenario 5: Monto ajustado aprobado por la CGR]]+Tabla14[[#This Row],[Modificación 01-2021]]+Tabla14[[#This Row],[MN01-2021]]+Tabla14[[#This Row],[MN02-2022]]+Tabla14[[#This Row],[Modificación 02-2021]]+Tabla14[[#This Row],[Modificación 03-2021]]+Tabla14[[#This Row],[PE-01-2021]]+Tabla14[[#This Row],[MN03-20221]]</f>
        <v>9999688.3200000003</v>
      </c>
      <c r="N39" s="404"/>
      <c r="O39" s="404"/>
      <c r="P39" s="404">
        <v>5140039.6900000004</v>
      </c>
      <c r="Q39" s="404">
        <f>+Tabla14[[#This Row],[Presupuesto total]]-Tabla14[[#This Row],[Resevas]]-Tabla14[[#This Row],[Compromisos ]]-Tabla14[[#This Row],[Ejecutado]]</f>
        <v>4859648.63</v>
      </c>
      <c r="R39" s="405" t="s">
        <v>15</v>
      </c>
      <c r="S39" s="405" t="s">
        <v>836</v>
      </c>
      <c r="T39" s="405" t="s">
        <v>837</v>
      </c>
      <c r="U39" s="406" t="s">
        <v>838</v>
      </c>
      <c r="V39" s="407" t="s">
        <v>839</v>
      </c>
      <c r="W39" s="406" t="s">
        <v>838</v>
      </c>
      <c r="X39" s="407" t="s">
        <v>840</v>
      </c>
      <c r="Y39" s="411" t="s">
        <v>895</v>
      </c>
      <c r="Z39" s="411"/>
    </row>
    <row r="40" spans="2:26" ht="94.5" x14ac:dyDescent="0.25">
      <c r="B40" s="401" t="s">
        <v>833</v>
      </c>
      <c r="C40" s="412" t="s">
        <v>890</v>
      </c>
      <c r="D40" s="403" t="s">
        <v>894</v>
      </c>
      <c r="E40" s="413">
        <v>6152358.4900000002</v>
      </c>
      <c r="F40" s="413"/>
      <c r="G40" s="413"/>
      <c r="H40" s="413"/>
      <c r="I40" s="413"/>
      <c r="J40" s="413">
        <v>5630000</v>
      </c>
      <c r="K40" s="413"/>
      <c r="L40" s="413"/>
      <c r="M40" s="404">
        <f>+Tabla14[[#This Row],[Escenario 5: Monto ajustado aprobado por la CGR]]+Tabla14[[#This Row],[Modificación 01-2021]]+Tabla14[[#This Row],[MN01-2021]]+Tabla14[[#This Row],[MN02-2022]]+Tabla14[[#This Row],[Modificación 02-2021]]+Tabla14[[#This Row],[Modificación 03-2021]]+Tabla14[[#This Row],[PE-01-2021]]+Tabla14[[#This Row],[MN03-20221]]</f>
        <v>11782358.49</v>
      </c>
      <c r="N40" s="404"/>
      <c r="O40" s="404"/>
      <c r="P40" s="404">
        <v>6533002.2400000002</v>
      </c>
      <c r="Q40" s="404">
        <f>+Tabla14[[#This Row],[Presupuesto total]]-Tabla14[[#This Row],[Resevas]]-Tabla14[[#This Row],[Compromisos ]]-Tabla14[[#This Row],[Ejecutado]]</f>
        <v>5249356.25</v>
      </c>
      <c r="R40" s="405" t="s">
        <v>15</v>
      </c>
      <c r="S40" s="405" t="s">
        <v>842</v>
      </c>
      <c r="T40" s="405" t="s">
        <v>843</v>
      </c>
      <c r="U40" s="406" t="s">
        <v>844</v>
      </c>
      <c r="V40" s="407" t="s">
        <v>845</v>
      </c>
      <c r="W40" s="406" t="s">
        <v>846</v>
      </c>
      <c r="X40" s="407" t="s">
        <v>847</v>
      </c>
      <c r="Y40" s="411" t="s">
        <v>896</v>
      </c>
      <c r="Z40" s="411"/>
    </row>
    <row r="41" spans="2:26" ht="94.5" x14ac:dyDescent="0.25">
      <c r="B41" s="401" t="s">
        <v>833</v>
      </c>
      <c r="C41" s="412" t="s">
        <v>890</v>
      </c>
      <c r="D41" s="403" t="s">
        <v>897</v>
      </c>
      <c r="E41" s="413">
        <v>5499688.3200000003</v>
      </c>
      <c r="F41" s="413"/>
      <c r="G41" s="413"/>
      <c r="H41" s="413"/>
      <c r="I41" s="413"/>
      <c r="J41" s="413"/>
      <c r="K41" s="413"/>
      <c r="L41" s="413"/>
      <c r="M41" s="404">
        <f>+Tabla14[[#This Row],[Escenario 5: Monto ajustado aprobado por la CGR]]+Tabla14[[#This Row],[Modificación 01-2021]]+Tabla14[[#This Row],[MN01-2021]]+Tabla14[[#This Row],[MN02-2022]]+Tabla14[[#This Row],[Modificación 02-2021]]+Tabla14[[#This Row],[Modificación 03-2021]]+Tabla14[[#This Row],[PE-01-2021]]+Tabla14[[#This Row],[MN03-20221]]</f>
        <v>5499688.3200000003</v>
      </c>
      <c r="N41" s="404"/>
      <c r="O41" s="404"/>
      <c r="P41" s="404">
        <v>2570019.4900000002</v>
      </c>
      <c r="Q41" s="404">
        <f>+Tabla14[[#This Row],[Presupuesto total]]-Tabla14[[#This Row],[Resevas]]-Tabla14[[#This Row],[Compromisos ]]-Tabla14[[#This Row],[Ejecutado]]</f>
        <v>2929668.83</v>
      </c>
      <c r="R41" s="405" t="s">
        <v>15</v>
      </c>
      <c r="S41" s="405" t="s">
        <v>836</v>
      </c>
      <c r="T41" s="405" t="s">
        <v>837</v>
      </c>
      <c r="U41" s="406" t="s">
        <v>838</v>
      </c>
      <c r="V41" s="407" t="s">
        <v>839</v>
      </c>
      <c r="W41" s="406" t="s">
        <v>838</v>
      </c>
      <c r="X41" s="407" t="s">
        <v>840</v>
      </c>
      <c r="Y41" s="411" t="s">
        <v>898</v>
      </c>
      <c r="Z41" s="411"/>
    </row>
    <row r="42" spans="2:26" ht="94.5" x14ac:dyDescent="0.25">
      <c r="B42" s="401" t="s">
        <v>833</v>
      </c>
      <c r="C42" s="412" t="s">
        <v>890</v>
      </c>
      <c r="D42" s="403" t="s">
        <v>897</v>
      </c>
      <c r="E42" s="413">
        <v>6152358.4900000002</v>
      </c>
      <c r="F42" s="413"/>
      <c r="G42" s="413"/>
      <c r="H42" s="413"/>
      <c r="I42" s="413"/>
      <c r="J42" s="413"/>
      <c r="K42" s="413"/>
      <c r="L42" s="413"/>
      <c r="M42" s="404">
        <f>+Tabla14[[#This Row],[Escenario 5: Monto ajustado aprobado por la CGR]]+Tabla14[[#This Row],[Modificación 01-2021]]+Tabla14[[#This Row],[MN01-2021]]+Tabla14[[#This Row],[MN02-2022]]+Tabla14[[#This Row],[Modificación 02-2021]]+Tabla14[[#This Row],[Modificación 03-2021]]+Tabla14[[#This Row],[PE-01-2021]]+Tabla14[[#This Row],[MN03-20221]]</f>
        <v>6152358.4900000002</v>
      </c>
      <c r="N42" s="404"/>
      <c r="O42" s="404"/>
      <c r="P42" s="404">
        <v>3527835.76</v>
      </c>
      <c r="Q42" s="404">
        <f>+Tabla14[[#This Row],[Presupuesto total]]-Tabla14[[#This Row],[Resevas]]-Tabla14[[#This Row],[Compromisos ]]-Tabla14[[#This Row],[Ejecutado]]</f>
        <v>2624522.7300000004</v>
      </c>
      <c r="R42" s="405" t="s">
        <v>15</v>
      </c>
      <c r="S42" s="405" t="s">
        <v>842</v>
      </c>
      <c r="T42" s="405" t="s">
        <v>843</v>
      </c>
      <c r="U42" s="406" t="s">
        <v>844</v>
      </c>
      <c r="V42" s="407" t="s">
        <v>845</v>
      </c>
      <c r="W42" s="406" t="s">
        <v>846</v>
      </c>
      <c r="X42" s="407" t="s">
        <v>847</v>
      </c>
      <c r="Y42" s="411" t="s">
        <v>899</v>
      </c>
      <c r="Z42" s="411"/>
    </row>
    <row r="43" spans="2:26" ht="94.5" x14ac:dyDescent="0.25">
      <c r="B43" s="401" t="s">
        <v>833</v>
      </c>
      <c r="C43" s="412" t="s">
        <v>890</v>
      </c>
      <c r="D43" s="403" t="s">
        <v>900</v>
      </c>
      <c r="E43" s="413">
        <v>19542225.829999998</v>
      </c>
      <c r="F43" s="413"/>
      <c r="G43" s="413"/>
      <c r="H43" s="413"/>
      <c r="I43" s="413"/>
      <c r="J43" s="413"/>
      <c r="K43" s="413"/>
      <c r="L43" s="413"/>
      <c r="M43" s="404">
        <f>+Tabla14[[#This Row],[Escenario 5: Monto ajustado aprobado por la CGR]]+Tabla14[[#This Row],[Modificación 01-2021]]+Tabla14[[#This Row],[MN01-2021]]+Tabla14[[#This Row],[MN02-2022]]+Tabla14[[#This Row],[Modificación 02-2021]]+Tabla14[[#This Row],[Modificación 03-2021]]+Tabla14[[#This Row],[PE-01-2021]]+Tabla14[[#This Row],[MN03-20221]]</f>
        <v>19542225.829999998</v>
      </c>
      <c r="N43" s="404"/>
      <c r="O43" s="404"/>
      <c r="P43" s="404">
        <v>8267504.1299999999</v>
      </c>
      <c r="Q43" s="404">
        <f>+Tabla14[[#This Row],[Presupuesto total]]-Tabla14[[#This Row],[Resevas]]-Tabla14[[#This Row],[Compromisos ]]-Tabla14[[#This Row],[Ejecutado]]</f>
        <v>11274721.699999999</v>
      </c>
      <c r="R43" s="405" t="s">
        <v>15</v>
      </c>
      <c r="S43" s="405" t="s">
        <v>836</v>
      </c>
      <c r="T43" s="405" t="s">
        <v>837</v>
      </c>
      <c r="U43" s="406" t="s">
        <v>838</v>
      </c>
      <c r="V43" s="407" t="s">
        <v>839</v>
      </c>
      <c r="W43" s="406" t="s">
        <v>838</v>
      </c>
      <c r="X43" s="407" t="s">
        <v>840</v>
      </c>
      <c r="Y43" s="411" t="s">
        <v>901</v>
      </c>
      <c r="Z43" s="411"/>
    </row>
    <row r="44" spans="2:26" ht="94.5" x14ac:dyDescent="0.25">
      <c r="B44" s="401" t="s">
        <v>833</v>
      </c>
      <c r="C44" s="412" t="s">
        <v>890</v>
      </c>
      <c r="D44" s="403" t="s">
        <v>900</v>
      </c>
      <c r="E44" s="413">
        <v>21861380.5</v>
      </c>
      <c r="F44" s="413"/>
      <c r="G44" s="413"/>
      <c r="H44" s="413"/>
      <c r="I44" s="413"/>
      <c r="J44" s="413"/>
      <c r="K44" s="413"/>
      <c r="L44" s="413"/>
      <c r="M44" s="404">
        <f>+Tabla14[[#This Row],[Escenario 5: Monto ajustado aprobado por la CGR]]+Tabla14[[#This Row],[Modificación 01-2021]]+Tabla14[[#This Row],[MN01-2021]]+Tabla14[[#This Row],[MN02-2022]]+Tabla14[[#This Row],[Modificación 02-2021]]+Tabla14[[#This Row],[Modificación 03-2021]]+Tabla14[[#This Row],[PE-01-2021]]+Tabla14[[#This Row],[MN03-20221]]</f>
        <v>21861380.5</v>
      </c>
      <c r="N44" s="404"/>
      <c r="O44" s="404"/>
      <c r="P44" s="404">
        <v>10358019.34</v>
      </c>
      <c r="Q44" s="404">
        <f>+Tabla14[[#This Row],[Presupuesto total]]-Tabla14[[#This Row],[Resevas]]-Tabla14[[#This Row],[Compromisos ]]-Tabla14[[#This Row],[Ejecutado]]</f>
        <v>11503361.16</v>
      </c>
      <c r="R44" s="405" t="s">
        <v>15</v>
      </c>
      <c r="S44" s="405" t="s">
        <v>842</v>
      </c>
      <c r="T44" s="405" t="s">
        <v>843</v>
      </c>
      <c r="U44" s="406" t="s">
        <v>844</v>
      </c>
      <c r="V44" s="407" t="s">
        <v>845</v>
      </c>
      <c r="W44" s="406" t="s">
        <v>846</v>
      </c>
      <c r="X44" s="407" t="s">
        <v>847</v>
      </c>
      <c r="Y44" s="411" t="s">
        <v>902</v>
      </c>
      <c r="Z44" s="411"/>
    </row>
    <row r="45" spans="2:26" ht="67.5" x14ac:dyDescent="0.25">
      <c r="B45" s="407" t="s">
        <v>903</v>
      </c>
      <c r="C45" s="408" t="s">
        <v>904</v>
      </c>
      <c r="D45" s="407" t="s">
        <v>905</v>
      </c>
      <c r="E45" s="404">
        <f>211310+600000</f>
        <v>811310</v>
      </c>
      <c r="F45" s="404"/>
      <c r="G45" s="404"/>
      <c r="H45" s="404"/>
      <c r="I45" s="404"/>
      <c r="J45" s="404"/>
      <c r="K45" s="404"/>
      <c r="L45" s="404"/>
      <c r="M45" s="404">
        <f>+Tabla14[[#This Row],[Escenario 5: Monto ajustado aprobado por la CGR]]+Tabla14[[#This Row],[Modificación 01-2021]]+Tabla14[[#This Row],[MN01-2021]]+Tabla14[[#This Row],[MN02-2022]]+Tabla14[[#This Row],[Modificación 02-2021]]+Tabla14[[#This Row],[Modificación 03-2021]]+Tabla14[[#This Row],[PE-01-2021]]+Tabla14[[#This Row],[MN03-20221]]</f>
        <v>811310</v>
      </c>
      <c r="N45" s="404">
        <v>152839.28</v>
      </c>
      <c r="O45" s="404">
        <v>0</v>
      </c>
      <c r="P45" s="404">
        <v>58470.720000000001</v>
      </c>
      <c r="Q45" s="404">
        <f>+Tabla14[[#This Row],[Presupuesto total]]-Tabla14[[#This Row],[Resevas]]-Tabla14[[#This Row],[Compromisos ]]-Tabla14[[#This Row],[Ejecutado]]</f>
        <v>600000</v>
      </c>
      <c r="R45" s="409" t="s">
        <v>15</v>
      </c>
      <c r="S45" s="405" t="s">
        <v>842</v>
      </c>
      <c r="T45" s="405" t="s">
        <v>906</v>
      </c>
      <c r="U45" s="406" t="s">
        <v>907</v>
      </c>
      <c r="V45" s="406" t="s">
        <v>908</v>
      </c>
      <c r="W45" s="406" t="s">
        <v>907</v>
      </c>
      <c r="X45" s="406" t="s">
        <v>909</v>
      </c>
      <c r="Y45" s="407" t="s">
        <v>910</v>
      </c>
      <c r="Z45" s="407"/>
    </row>
    <row r="46" spans="2:26" ht="54" x14ac:dyDescent="0.25">
      <c r="B46" s="406" t="s">
        <v>903</v>
      </c>
      <c r="C46" s="408" t="s">
        <v>911</v>
      </c>
      <c r="D46" s="407" t="s">
        <v>912</v>
      </c>
      <c r="E46" s="404">
        <v>1656000</v>
      </c>
      <c r="F46" s="404"/>
      <c r="G46" s="404"/>
      <c r="H46" s="404"/>
      <c r="I46" s="404"/>
      <c r="J46" s="404"/>
      <c r="K46" s="404"/>
      <c r="L46" s="404"/>
      <c r="M46" s="404">
        <f>+Tabla14[[#This Row],[Escenario 5: Monto ajustado aprobado por la CGR]]+Tabla14[[#This Row],[Modificación 01-2021]]+Tabla14[[#This Row],[MN01-2021]]+Tabla14[[#This Row],[MN02-2022]]+Tabla14[[#This Row],[Modificación 02-2021]]+Tabla14[[#This Row],[Modificación 03-2021]]+Tabla14[[#This Row],[PE-01-2021]]+Tabla14[[#This Row],[MN03-20221]]</f>
        <v>1656000</v>
      </c>
      <c r="N46" s="404">
        <v>1189804</v>
      </c>
      <c r="O46" s="404">
        <v>0</v>
      </c>
      <c r="P46" s="404">
        <v>10196</v>
      </c>
      <c r="Q46" s="404">
        <f>+Tabla14[[#This Row],[Presupuesto total]]-Tabla14[[#This Row],[Resevas]]-Tabla14[[#This Row],[Compromisos ]]-Tabla14[[#This Row],[Ejecutado]]</f>
        <v>456000</v>
      </c>
      <c r="R46" s="409" t="s">
        <v>15</v>
      </c>
      <c r="S46" s="405" t="s">
        <v>842</v>
      </c>
      <c r="T46" s="405" t="s">
        <v>913</v>
      </c>
      <c r="U46" s="406" t="s">
        <v>914</v>
      </c>
      <c r="V46" s="406" t="s">
        <v>915</v>
      </c>
      <c r="W46" s="406" t="s">
        <v>914</v>
      </c>
      <c r="X46" s="406" t="s">
        <v>916</v>
      </c>
      <c r="Y46" s="407" t="s">
        <v>917</v>
      </c>
      <c r="Z46" s="406"/>
    </row>
    <row r="47" spans="2:26" ht="54" x14ac:dyDescent="0.25">
      <c r="B47" s="406" t="s">
        <v>903</v>
      </c>
      <c r="C47" s="408" t="s">
        <v>911</v>
      </c>
      <c r="D47" s="407" t="s">
        <v>918</v>
      </c>
      <c r="E47" s="404">
        <v>6000000</v>
      </c>
      <c r="F47" s="404"/>
      <c r="G47" s="404"/>
      <c r="H47" s="404"/>
      <c r="I47" s="404"/>
      <c r="J47" s="404"/>
      <c r="K47" s="404"/>
      <c r="L47" s="404"/>
      <c r="M47" s="404">
        <f>+Tabla14[[#This Row],[Escenario 5: Monto ajustado aprobado por la CGR]]+Tabla14[[#This Row],[Modificación 01-2021]]+Tabla14[[#This Row],[MN01-2021]]+Tabla14[[#This Row],[MN02-2022]]+Tabla14[[#This Row],[Modificación 02-2021]]+Tabla14[[#This Row],[Modificación 03-2021]]+Tabla14[[#This Row],[PE-01-2021]]+Tabla14[[#This Row],[MN03-20221]]</f>
        <v>6000000</v>
      </c>
      <c r="N47" s="404">
        <v>3505290</v>
      </c>
      <c r="O47" s="404">
        <v>0</v>
      </c>
      <c r="P47" s="404">
        <v>2254275</v>
      </c>
      <c r="Q47" s="404">
        <f>+Tabla14[[#This Row],[Presupuesto total]]-Tabla14[[#This Row],[Resevas]]-Tabla14[[#This Row],[Compromisos ]]-Tabla14[[#This Row],[Ejecutado]]</f>
        <v>240435</v>
      </c>
      <c r="R47" s="409" t="s">
        <v>15</v>
      </c>
      <c r="S47" s="405" t="s">
        <v>842</v>
      </c>
      <c r="T47" s="405" t="s">
        <v>913</v>
      </c>
      <c r="U47" s="406" t="s">
        <v>914</v>
      </c>
      <c r="V47" s="406" t="s">
        <v>915</v>
      </c>
      <c r="W47" s="406" t="s">
        <v>914</v>
      </c>
      <c r="X47" s="406" t="s">
        <v>916</v>
      </c>
      <c r="Y47" s="407" t="s">
        <v>919</v>
      </c>
      <c r="Z47" s="406"/>
    </row>
    <row r="48" spans="2:26" ht="54" x14ac:dyDescent="0.25">
      <c r="B48" s="406" t="s">
        <v>903</v>
      </c>
      <c r="C48" s="408" t="s">
        <v>911</v>
      </c>
      <c r="D48" s="407" t="s">
        <v>920</v>
      </c>
      <c r="E48" s="404">
        <v>25000</v>
      </c>
      <c r="F48" s="404"/>
      <c r="G48" s="404"/>
      <c r="H48" s="404"/>
      <c r="I48" s="404"/>
      <c r="J48" s="404"/>
      <c r="K48" s="404"/>
      <c r="L48" s="404"/>
      <c r="M48" s="404">
        <f>+Tabla14[[#This Row],[Escenario 5: Monto ajustado aprobado por la CGR]]+Tabla14[[#This Row],[Modificación 01-2021]]+Tabla14[[#This Row],[MN01-2021]]+Tabla14[[#This Row],[MN02-2022]]+Tabla14[[#This Row],[Modificación 02-2021]]+Tabla14[[#This Row],[Modificación 03-2021]]+Tabla14[[#This Row],[PE-01-2021]]+Tabla14[[#This Row],[MN03-20221]]</f>
        <v>25000</v>
      </c>
      <c r="N48" s="404">
        <v>6072</v>
      </c>
      <c r="O48" s="404">
        <v>0</v>
      </c>
      <c r="P48" s="404">
        <v>18928</v>
      </c>
      <c r="Q48" s="404">
        <f>+Tabla14[[#This Row],[Presupuesto total]]-Tabla14[[#This Row],[Resevas]]-Tabla14[[#This Row],[Compromisos ]]-Tabla14[[#This Row],[Ejecutado]]</f>
        <v>0</v>
      </c>
      <c r="R48" s="409" t="s">
        <v>15</v>
      </c>
      <c r="S48" s="405" t="s">
        <v>842</v>
      </c>
      <c r="T48" s="405" t="s">
        <v>913</v>
      </c>
      <c r="U48" s="406" t="s">
        <v>914</v>
      </c>
      <c r="V48" s="406" t="s">
        <v>915</v>
      </c>
      <c r="W48" s="406" t="s">
        <v>914</v>
      </c>
      <c r="X48" s="406" t="s">
        <v>916</v>
      </c>
      <c r="Y48" s="407" t="s">
        <v>921</v>
      </c>
      <c r="Z48" s="406"/>
    </row>
    <row r="49" spans="2:26" ht="54" x14ac:dyDescent="0.25">
      <c r="B49" s="406" t="s">
        <v>903</v>
      </c>
      <c r="C49" s="408" t="s">
        <v>911</v>
      </c>
      <c r="D49" s="407" t="s">
        <v>922</v>
      </c>
      <c r="E49" s="404">
        <v>5330356.4400000004</v>
      </c>
      <c r="F49" s="404"/>
      <c r="G49" s="404"/>
      <c r="H49" s="404"/>
      <c r="I49" s="404"/>
      <c r="J49" s="404"/>
      <c r="K49" s="404"/>
      <c r="L49" s="404"/>
      <c r="M49" s="404">
        <f>+Tabla14[[#This Row],[Escenario 5: Monto ajustado aprobado por la CGR]]+Tabla14[[#This Row],[Modificación 01-2021]]+Tabla14[[#This Row],[MN01-2021]]+Tabla14[[#This Row],[MN02-2022]]+Tabla14[[#This Row],[Modificación 02-2021]]+Tabla14[[#This Row],[Modificación 03-2021]]+Tabla14[[#This Row],[PE-01-2021]]+Tabla14[[#This Row],[MN03-20221]]</f>
        <v>5330356.4400000004</v>
      </c>
      <c r="N49" s="404">
        <v>3316688.09</v>
      </c>
      <c r="O49" s="404">
        <v>0</v>
      </c>
      <c r="P49" s="404">
        <v>2001435.38</v>
      </c>
      <c r="Q49" s="404">
        <f>+Tabla14[[#This Row],[Presupuesto total]]-Tabla14[[#This Row],[Resevas]]-Tabla14[[#This Row],[Compromisos ]]-Tabla14[[#This Row],[Ejecutado]]</f>
        <v>12232.970000000671</v>
      </c>
      <c r="R49" s="409" t="s">
        <v>15</v>
      </c>
      <c r="S49" s="405" t="s">
        <v>842</v>
      </c>
      <c r="T49" s="405" t="s">
        <v>913</v>
      </c>
      <c r="U49" s="406" t="s">
        <v>914</v>
      </c>
      <c r="V49" s="406" t="s">
        <v>915</v>
      </c>
      <c r="W49" s="406" t="s">
        <v>914</v>
      </c>
      <c r="X49" s="406" t="s">
        <v>916</v>
      </c>
      <c r="Y49" s="407" t="s">
        <v>923</v>
      </c>
      <c r="Z49" s="406"/>
    </row>
    <row r="50" spans="2:26" ht="47.25" customHeight="1" x14ac:dyDescent="0.25">
      <c r="B50" s="401" t="s">
        <v>903</v>
      </c>
      <c r="C50" s="408" t="s">
        <v>911</v>
      </c>
      <c r="D50" s="407" t="s">
        <v>922</v>
      </c>
      <c r="E50" s="413">
        <v>4269643.5599999996</v>
      </c>
      <c r="F50" s="413"/>
      <c r="G50" s="413"/>
      <c r="H50" s="413"/>
      <c r="I50" s="413"/>
      <c r="J50" s="413"/>
      <c r="K50" s="413"/>
      <c r="L50" s="413"/>
      <c r="M50" s="404">
        <f>+Tabla14[[#This Row],[Escenario 5: Monto ajustado aprobado por la CGR]]+Tabla14[[#This Row],[Modificación 01-2021]]+Tabla14[[#This Row],[MN01-2021]]+Tabla14[[#This Row],[MN02-2022]]+Tabla14[[#This Row],[Modificación 02-2021]]+Tabla14[[#This Row],[Modificación 03-2021]]+Tabla14[[#This Row],[PE-01-2021]]+Tabla14[[#This Row],[MN03-20221]]</f>
        <v>4269643.5599999996</v>
      </c>
      <c r="N50" s="404">
        <v>0</v>
      </c>
      <c r="O50" s="404">
        <v>1535661.99</v>
      </c>
      <c r="P50" s="404">
        <v>2154131.37</v>
      </c>
      <c r="Q50" s="404">
        <f>+Tabla14[[#This Row],[Presupuesto total]]-Tabla14[[#This Row],[Resevas]]-Tabla14[[#This Row],[Compromisos ]]-Tabla14[[#This Row],[Ejecutado]]</f>
        <v>579850.19999999925</v>
      </c>
      <c r="R50" s="409" t="s">
        <v>15</v>
      </c>
      <c r="S50" s="405" t="s">
        <v>842</v>
      </c>
      <c r="T50" s="405" t="s">
        <v>906</v>
      </c>
      <c r="U50" s="406" t="s">
        <v>907</v>
      </c>
      <c r="V50" s="406" t="s">
        <v>908</v>
      </c>
      <c r="W50" s="406" t="s">
        <v>907</v>
      </c>
      <c r="X50" s="406" t="s">
        <v>909</v>
      </c>
      <c r="Y50" s="407" t="s">
        <v>924</v>
      </c>
      <c r="Z50" s="406"/>
    </row>
    <row r="51" spans="2:26" ht="54" x14ac:dyDescent="0.25">
      <c r="B51" s="406" t="s">
        <v>903</v>
      </c>
      <c r="C51" s="408" t="s">
        <v>911</v>
      </c>
      <c r="D51" s="407" t="s">
        <v>925</v>
      </c>
      <c r="E51" s="404">
        <v>920000</v>
      </c>
      <c r="F51" s="404"/>
      <c r="G51" s="404"/>
      <c r="H51" s="404"/>
      <c r="I51" s="404"/>
      <c r="J51" s="404"/>
      <c r="K51" s="404"/>
      <c r="L51" s="404"/>
      <c r="M51" s="404">
        <f>+Tabla14[[#This Row],[Escenario 5: Monto ajustado aprobado por la CGR]]+Tabla14[[#This Row],[Modificación 01-2021]]+Tabla14[[#This Row],[MN01-2021]]+Tabla14[[#This Row],[MN02-2022]]+Tabla14[[#This Row],[Modificación 02-2021]]+Tabla14[[#This Row],[Modificación 03-2021]]+Tabla14[[#This Row],[PE-01-2021]]+Tabla14[[#This Row],[MN03-20221]]</f>
        <v>920000</v>
      </c>
      <c r="N51" s="404">
        <v>474602.6</v>
      </c>
      <c r="O51" s="404">
        <v>0</v>
      </c>
      <c r="P51" s="404">
        <v>445397.4</v>
      </c>
      <c r="Q51" s="404">
        <f>+Tabla14[[#This Row],[Presupuesto total]]-Tabla14[[#This Row],[Resevas]]-Tabla14[[#This Row],[Compromisos ]]-Tabla14[[#This Row],[Ejecutado]]</f>
        <v>0</v>
      </c>
      <c r="R51" s="409" t="s">
        <v>15</v>
      </c>
      <c r="S51" s="405" t="s">
        <v>842</v>
      </c>
      <c r="T51" s="405" t="s">
        <v>913</v>
      </c>
      <c r="U51" s="406" t="s">
        <v>914</v>
      </c>
      <c r="V51" s="406" t="s">
        <v>915</v>
      </c>
      <c r="W51" s="406" t="s">
        <v>914</v>
      </c>
      <c r="X51" s="406" t="s">
        <v>916</v>
      </c>
      <c r="Y51" s="407" t="s">
        <v>926</v>
      </c>
      <c r="Z51" s="406"/>
    </row>
    <row r="52" spans="2:26" ht="40.5" x14ac:dyDescent="0.25">
      <c r="B52" s="406" t="s">
        <v>903</v>
      </c>
      <c r="C52" s="414" t="s">
        <v>927</v>
      </c>
      <c r="D52" s="407" t="s">
        <v>928</v>
      </c>
      <c r="E52" s="404">
        <v>0</v>
      </c>
      <c r="F52" s="404"/>
      <c r="G52" s="404"/>
      <c r="H52" s="404"/>
      <c r="I52" s="404">
        <v>506000</v>
      </c>
      <c r="J52" s="404"/>
      <c r="K52" s="404"/>
      <c r="L52" s="404"/>
      <c r="M52" s="404">
        <f>+Tabla14[[#This Row],[Escenario 5: Monto ajustado aprobado por la CGR]]+Tabla14[[#This Row],[Modificación 01-2021]]+Tabla14[[#This Row],[MN01-2021]]+Tabla14[[#This Row],[MN02-2022]]+Tabla14[[#This Row],[Modificación 02-2021]]+Tabla14[[#This Row],[Modificación 03-2021]]+Tabla14[[#This Row],[PE-01-2021]]+Tabla14[[#This Row],[MN03-20221]]</f>
        <v>506000</v>
      </c>
      <c r="N52" s="404">
        <v>0</v>
      </c>
      <c r="O52" s="404">
        <v>0</v>
      </c>
      <c r="P52" s="404">
        <v>0</v>
      </c>
      <c r="Q52" s="404">
        <f>+Tabla14[[#This Row],[Presupuesto total]]-Tabla14[[#This Row],[Resevas]]-Tabla14[[#This Row],[Compromisos ]]-Tabla14[[#This Row],[Ejecutado]]</f>
        <v>506000</v>
      </c>
      <c r="R52" s="409" t="s">
        <v>15</v>
      </c>
      <c r="S52" s="405" t="s">
        <v>842</v>
      </c>
      <c r="T52" s="405" t="s">
        <v>855</v>
      </c>
      <c r="U52" s="406" t="s">
        <v>856</v>
      </c>
      <c r="V52" s="406" t="s">
        <v>857</v>
      </c>
      <c r="W52" s="410" t="s">
        <v>856</v>
      </c>
      <c r="X52" s="406" t="s">
        <v>858</v>
      </c>
      <c r="Y52" s="407" t="s">
        <v>929</v>
      </c>
      <c r="Z52" s="406"/>
    </row>
    <row r="53" spans="2:26" ht="40.5" x14ac:dyDescent="0.25">
      <c r="B53" s="406" t="s">
        <v>903</v>
      </c>
      <c r="C53" s="414" t="s">
        <v>927</v>
      </c>
      <c r="D53" s="407" t="s">
        <v>928</v>
      </c>
      <c r="E53" s="404">
        <v>0</v>
      </c>
      <c r="F53" s="404"/>
      <c r="G53" s="404"/>
      <c r="H53" s="404"/>
      <c r="I53" s="404">
        <v>220000</v>
      </c>
      <c r="J53" s="404"/>
      <c r="K53" s="404"/>
      <c r="L53" s="404"/>
      <c r="M53" s="404">
        <f>+Tabla14[[#This Row],[Escenario 5: Monto ajustado aprobado por la CGR]]+Tabla14[[#This Row],[Modificación 01-2021]]+Tabla14[[#This Row],[MN01-2021]]+Tabla14[[#This Row],[MN02-2022]]+Tabla14[[#This Row],[Modificación 02-2021]]+Tabla14[[#This Row],[Modificación 03-2021]]+Tabla14[[#This Row],[PE-01-2021]]+Tabla14[[#This Row],[MN03-20221]]</f>
        <v>220000</v>
      </c>
      <c r="N53" s="404">
        <v>0</v>
      </c>
      <c r="O53" s="404">
        <v>0</v>
      </c>
      <c r="P53" s="404">
        <v>0</v>
      </c>
      <c r="Q53" s="404">
        <f>+Tabla14[[#This Row],[Presupuesto total]]-Tabla14[[#This Row],[Resevas]]-Tabla14[[#This Row],[Compromisos ]]-Tabla14[[#This Row],[Ejecutado]]</f>
        <v>220000</v>
      </c>
      <c r="R53" s="409" t="s">
        <v>15</v>
      </c>
      <c r="S53" s="405" t="s">
        <v>842</v>
      </c>
      <c r="T53" s="405" t="s">
        <v>930</v>
      </c>
      <c r="U53" s="406" t="s">
        <v>931</v>
      </c>
      <c r="V53" s="406" t="s">
        <v>932</v>
      </c>
      <c r="W53" s="406" t="s">
        <v>933</v>
      </c>
      <c r="X53" s="406" t="s">
        <v>934</v>
      </c>
      <c r="Y53" s="407" t="s">
        <v>935</v>
      </c>
      <c r="Z53" s="406"/>
    </row>
    <row r="54" spans="2:26" ht="94.5" x14ac:dyDescent="0.25">
      <c r="B54" s="406" t="s">
        <v>903</v>
      </c>
      <c r="C54" s="408" t="s">
        <v>927</v>
      </c>
      <c r="D54" s="407" t="s">
        <v>936</v>
      </c>
      <c r="E54" s="404">
        <v>50000</v>
      </c>
      <c r="F54" s="404"/>
      <c r="G54" s="404"/>
      <c r="H54" s="404"/>
      <c r="I54" s="404"/>
      <c r="J54" s="404"/>
      <c r="K54" s="404"/>
      <c r="L54" s="404"/>
      <c r="M54" s="404">
        <f>+Tabla14[[#This Row],[Escenario 5: Monto ajustado aprobado por la CGR]]+Tabla14[[#This Row],[Modificación 01-2021]]+Tabla14[[#This Row],[MN01-2021]]+Tabla14[[#This Row],[MN02-2022]]+Tabla14[[#This Row],[Modificación 02-2021]]+Tabla14[[#This Row],[Modificación 03-2021]]+Tabla14[[#This Row],[PE-01-2021]]+Tabla14[[#This Row],[MN03-20221]]</f>
        <v>50000</v>
      </c>
      <c r="N54" s="404">
        <v>0</v>
      </c>
      <c r="O54" s="404">
        <v>0</v>
      </c>
      <c r="P54" s="404">
        <v>0</v>
      </c>
      <c r="Q54" s="404">
        <f>+Tabla14[[#This Row],[Presupuesto total]]-Tabla14[[#This Row],[Resevas]]-Tabla14[[#This Row],[Compromisos ]]-Tabla14[[#This Row],[Ejecutado]]</f>
        <v>50000</v>
      </c>
      <c r="R54" s="409" t="s">
        <v>15</v>
      </c>
      <c r="S54" s="405" t="s">
        <v>842</v>
      </c>
      <c r="T54" s="405" t="s">
        <v>930</v>
      </c>
      <c r="U54" s="406" t="s">
        <v>931</v>
      </c>
      <c r="V54" s="406" t="s">
        <v>932</v>
      </c>
      <c r="W54" s="406" t="s">
        <v>933</v>
      </c>
      <c r="X54" s="406" t="s">
        <v>934</v>
      </c>
      <c r="Y54" s="406" t="s">
        <v>937</v>
      </c>
      <c r="Z54" s="406" t="s">
        <v>938</v>
      </c>
    </row>
    <row r="55" spans="2:26" ht="27" x14ac:dyDescent="0.25">
      <c r="B55" s="406" t="s">
        <v>903</v>
      </c>
      <c r="C55" s="408" t="s">
        <v>927</v>
      </c>
      <c r="D55" s="407" t="s">
        <v>936</v>
      </c>
      <c r="E55" s="404">
        <v>60000</v>
      </c>
      <c r="F55" s="404"/>
      <c r="G55" s="404"/>
      <c r="H55" s="404"/>
      <c r="I55" s="404"/>
      <c r="J55" s="404"/>
      <c r="K55" s="404"/>
      <c r="L55" s="404"/>
      <c r="M55" s="404">
        <f>+Tabla14[[#This Row],[Escenario 5: Monto ajustado aprobado por la CGR]]+Tabla14[[#This Row],[Modificación 01-2021]]+Tabla14[[#This Row],[MN01-2021]]+Tabla14[[#This Row],[MN02-2022]]+Tabla14[[#This Row],[Modificación 02-2021]]+Tabla14[[#This Row],[Modificación 03-2021]]+Tabla14[[#This Row],[PE-01-2021]]+Tabla14[[#This Row],[MN03-20221]]</f>
        <v>60000</v>
      </c>
      <c r="N55" s="404">
        <v>0</v>
      </c>
      <c r="O55" s="404">
        <v>44635</v>
      </c>
      <c r="P55" s="404">
        <v>0</v>
      </c>
      <c r="Q55" s="404">
        <f>+Tabla14[[#This Row],[Presupuesto total]]-Tabla14[[#This Row],[Resevas]]-Tabla14[[#This Row],[Compromisos ]]-Tabla14[[#This Row],[Ejecutado]]</f>
        <v>15365</v>
      </c>
      <c r="R55" s="409" t="s">
        <v>15</v>
      </c>
      <c r="S55" s="405" t="s">
        <v>842</v>
      </c>
      <c r="T55" s="405" t="s">
        <v>855</v>
      </c>
      <c r="U55" s="406" t="s">
        <v>856</v>
      </c>
      <c r="V55" s="406" t="s">
        <v>857</v>
      </c>
      <c r="W55" s="410" t="s">
        <v>856</v>
      </c>
      <c r="X55" s="406" t="s">
        <v>858</v>
      </c>
      <c r="Y55" s="407" t="s">
        <v>939</v>
      </c>
      <c r="Z55" s="406"/>
    </row>
    <row r="56" spans="2:26" ht="54" x14ac:dyDescent="0.25">
      <c r="B56" s="406" t="s">
        <v>903</v>
      </c>
      <c r="C56" s="408" t="s">
        <v>927</v>
      </c>
      <c r="D56" s="407" t="s">
        <v>940</v>
      </c>
      <c r="E56" s="404">
        <v>2760000</v>
      </c>
      <c r="F56" s="404"/>
      <c r="G56" s="404"/>
      <c r="H56" s="404"/>
      <c r="I56" s="404">
        <v>176000</v>
      </c>
      <c r="J56" s="404"/>
      <c r="K56" s="404"/>
      <c r="L56" s="404"/>
      <c r="M56" s="404">
        <f>+Tabla14[[#This Row],[Escenario 5: Monto ajustado aprobado por la CGR]]+Tabla14[[#This Row],[Modificación 01-2021]]+Tabla14[[#This Row],[MN01-2021]]+Tabla14[[#This Row],[MN02-2022]]+Tabla14[[#This Row],[Modificación 02-2021]]+Tabla14[[#This Row],[Modificación 03-2021]]+Tabla14[[#This Row],[PE-01-2021]]+Tabla14[[#This Row],[MN03-20221]]</f>
        <v>2936000</v>
      </c>
      <c r="N56" s="404">
        <v>1427841.65</v>
      </c>
      <c r="O56" s="404">
        <v>0</v>
      </c>
      <c r="P56" s="404">
        <v>1332158.3500000001</v>
      </c>
      <c r="Q56" s="404">
        <f>+Tabla14[[#This Row],[Presupuesto total]]-Tabla14[[#This Row],[Resevas]]-Tabla14[[#This Row],[Compromisos ]]-Tabla14[[#This Row],[Ejecutado]]</f>
        <v>176000</v>
      </c>
      <c r="R56" s="409" t="s">
        <v>15</v>
      </c>
      <c r="S56" s="405" t="s">
        <v>842</v>
      </c>
      <c r="T56" s="405" t="s">
        <v>913</v>
      </c>
      <c r="U56" s="406" t="s">
        <v>914</v>
      </c>
      <c r="V56" s="406" t="s">
        <v>915</v>
      </c>
      <c r="W56" s="406" t="s">
        <v>914</v>
      </c>
      <c r="X56" s="406" t="s">
        <v>916</v>
      </c>
      <c r="Y56" s="407" t="s">
        <v>941</v>
      </c>
      <c r="Z56" s="406"/>
    </row>
    <row r="57" spans="2:26" ht="40.5" x14ac:dyDescent="0.25">
      <c r="B57" s="406" t="s">
        <v>903</v>
      </c>
      <c r="C57" s="408" t="s">
        <v>927</v>
      </c>
      <c r="D57" s="407" t="s">
        <v>940</v>
      </c>
      <c r="E57" s="404"/>
      <c r="F57" s="404"/>
      <c r="G57" s="404"/>
      <c r="H57" s="404"/>
      <c r="I57" s="404"/>
      <c r="J57" s="404">
        <v>23750</v>
      </c>
      <c r="K57" s="404"/>
      <c r="L57" s="404"/>
      <c r="M57" s="404">
        <f>+Tabla14[[#This Row],[Escenario 5: Monto ajustado aprobado por la CGR]]+Tabla14[[#This Row],[Modificación 01-2021]]+Tabla14[[#This Row],[MN01-2021]]+Tabla14[[#This Row],[MN02-2022]]+Tabla14[[#This Row],[Modificación 02-2021]]+Tabla14[[#This Row],[Modificación 03-2021]]+Tabla14[[#This Row],[PE-01-2021]]+Tabla14[[#This Row],[MN03-20221]]</f>
        <v>23750</v>
      </c>
      <c r="N57" s="404">
        <v>23750</v>
      </c>
      <c r="O57" s="404"/>
      <c r="P57" s="404"/>
      <c r="Q57" s="404">
        <f>+Tabla14[[#This Row],[Presupuesto total]]-Tabla14[[#This Row],[Resevas]]-Tabla14[[#This Row],[Compromisos ]]-Tabla14[[#This Row],[Ejecutado]]</f>
        <v>0</v>
      </c>
      <c r="R57" s="405" t="s">
        <v>15</v>
      </c>
      <c r="S57" s="405" t="s">
        <v>836</v>
      </c>
      <c r="T57" s="405" t="s">
        <v>942</v>
      </c>
      <c r="U57" s="406" t="s">
        <v>943</v>
      </c>
      <c r="V57" s="406" t="s">
        <v>944</v>
      </c>
      <c r="W57" s="406" t="s">
        <v>943</v>
      </c>
      <c r="X57" s="406" t="s">
        <v>945</v>
      </c>
      <c r="Y57" s="407" t="s">
        <v>946</v>
      </c>
      <c r="Z57" s="406"/>
    </row>
    <row r="58" spans="2:26" ht="54" x14ac:dyDescent="0.25">
      <c r="B58" s="407" t="s">
        <v>903</v>
      </c>
      <c r="C58" s="408" t="s">
        <v>927</v>
      </c>
      <c r="D58" s="407" t="s">
        <v>947</v>
      </c>
      <c r="E58" s="404">
        <v>380000</v>
      </c>
      <c r="F58" s="404"/>
      <c r="G58" s="404"/>
      <c r="H58" s="404"/>
      <c r="I58" s="404"/>
      <c r="J58" s="404"/>
      <c r="K58" s="404"/>
      <c r="L58" s="404"/>
      <c r="M58" s="404">
        <f>+Tabla14[[#This Row],[Escenario 5: Monto ajustado aprobado por la CGR]]+Tabla14[[#This Row],[Modificación 01-2021]]+Tabla14[[#This Row],[MN01-2021]]+Tabla14[[#This Row],[MN02-2022]]+Tabla14[[#This Row],[Modificación 02-2021]]+Tabla14[[#This Row],[Modificación 03-2021]]+Tabla14[[#This Row],[PE-01-2021]]+Tabla14[[#This Row],[MN03-20221]]</f>
        <v>380000</v>
      </c>
      <c r="N58" s="404">
        <v>354849.18</v>
      </c>
      <c r="O58" s="404">
        <v>0</v>
      </c>
      <c r="P58" s="404">
        <v>25150.82</v>
      </c>
      <c r="Q58" s="404">
        <f>+Tabla14[[#This Row],[Presupuesto total]]-Tabla14[[#This Row],[Resevas]]-Tabla14[[#This Row],[Compromisos ]]-Tabla14[[#This Row],[Ejecutado]]</f>
        <v>0</v>
      </c>
      <c r="R58" s="409" t="s">
        <v>15</v>
      </c>
      <c r="S58" s="405" t="s">
        <v>842</v>
      </c>
      <c r="T58" s="405" t="s">
        <v>906</v>
      </c>
      <c r="U58" s="406" t="s">
        <v>907</v>
      </c>
      <c r="V58" s="406" t="s">
        <v>908</v>
      </c>
      <c r="W58" s="406" t="s">
        <v>907</v>
      </c>
      <c r="X58" s="406" t="s">
        <v>909</v>
      </c>
      <c r="Y58" s="407" t="s">
        <v>948</v>
      </c>
      <c r="Z58" s="407"/>
    </row>
    <row r="59" spans="2:26" ht="54" x14ac:dyDescent="0.25">
      <c r="B59" s="406" t="s">
        <v>903</v>
      </c>
      <c r="C59" s="408" t="s">
        <v>949</v>
      </c>
      <c r="D59" s="407" t="s">
        <v>950</v>
      </c>
      <c r="E59" s="404">
        <v>0</v>
      </c>
      <c r="F59" s="404">
        <v>1050000</v>
      </c>
      <c r="G59" s="404"/>
      <c r="H59" s="404"/>
      <c r="I59" s="404"/>
      <c r="J59" s="404"/>
      <c r="K59" s="404"/>
      <c r="L59" s="404"/>
      <c r="M59" s="404">
        <f>+Tabla14[[#This Row],[Escenario 5: Monto ajustado aprobado por la CGR]]+Tabla14[[#This Row],[Modificación 01-2021]]+Tabla14[[#This Row],[MN01-2021]]+Tabla14[[#This Row],[MN02-2022]]+Tabla14[[#This Row],[Modificación 02-2021]]+Tabla14[[#This Row],[Modificación 03-2021]]+Tabla14[[#This Row],[PE-01-2021]]+Tabla14[[#This Row],[MN03-20221]]</f>
        <v>1050000</v>
      </c>
      <c r="N59" s="404">
        <v>0</v>
      </c>
      <c r="O59" s="404">
        <v>592257.12</v>
      </c>
      <c r="P59" s="404">
        <v>455582.4</v>
      </c>
      <c r="Q59" s="404">
        <f>+Tabla14[[#This Row],[Presupuesto total]]-Tabla14[[#This Row],[Resevas]]-Tabla14[[#This Row],[Compromisos ]]-Tabla14[[#This Row],[Ejecutado]]</f>
        <v>2160.4799999999814</v>
      </c>
      <c r="R59" s="409" t="s">
        <v>15</v>
      </c>
      <c r="S59" s="405" t="s">
        <v>842</v>
      </c>
      <c r="T59" s="405" t="s">
        <v>906</v>
      </c>
      <c r="U59" s="406" t="s">
        <v>951</v>
      </c>
      <c r="V59" s="406" t="s">
        <v>952</v>
      </c>
      <c r="W59" s="406" t="s">
        <v>951</v>
      </c>
      <c r="X59" s="406"/>
      <c r="Y59" s="407" t="s">
        <v>953</v>
      </c>
      <c r="Z59" s="406"/>
    </row>
    <row r="60" spans="2:26" ht="27" x14ac:dyDescent="0.25">
      <c r="B60" s="406" t="s">
        <v>903</v>
      </c>
      <c r="C60" s="408" t="s">
        <v>949</v>
      </c>
      <c r="D60" s="407" t="s">
        <v>954</v>
      </c>
      <c r="E60" s="404">
        <v>0</v>
      </c>
      <c r="F60" s="404"/>
      <c r="G60" s="404"/>
      <c r="H60" s="404"/>
      <c r="I60" s="404">
        <v>225000</v>
      </c>
      <c r="J60" s="404"/>
      <c r="K60" s="404"/>
      <c r="L60" s="404"/>
      <c r="M60" s="404">
        <f>+Tabla14[[#This Row],[Escenario 5: Monto ajustado aprobado por la CGR]]+Tabla14[[#This Row],[Modificación 01-2021]]+Tabla14[[#This Row],[MN01-2021]]+Tabla14[[#This Row],[MN02-2022]]+Tabla14[[#This Row],[Modificación 02-2021]]+Tabla14[[#This Row],[Modificación 03-2021]]+Tabla14[[#This Row],[PE-01-2021]]+Tabla14[[#This Row],[MN03-20221]]</f>
        <v>225000</v>
      </c>
      <c r="N60" s="404">
        <v>0</v>
      </c>
      <c r="O60" s="404">
        <v>0</v>
      </c>
      <c r="P60" s="404">
        <v>0</v>
      </c>
      <c r="Q60" s="404">
        <f>+Tabla14[[#This Row],[Presupuesto total]]-Tabla14[[#This Row],[Resevas]]-Tabla14[[#This Row],[Compromisos ]]-Tabla14[[#This Row],[Ejecutado]]</f>
        <v>225000</v>
      </c>
      <c r="R60" s="409" t="s">
        <v>15</v>
      </c>
      <c r="S60" s="405" t="s">
        <v>842</v>
      </c>
      <c r="T60" s="405"/>
      <c r="U60" s="406" t="s">
        <v>914</v>
      </c>
      <c r="V60" s="406" t="s">
        <v>915</v>
      </c>
      <c r="W60" s="406" t="s">
        <v>914</v>
      </c>
      <c r="X60" s="406"/>
      <c r="Y60" s="406" t="s">
        <v>955</v>
      </c>
      <c r="Z60" s="406"/>
    </row>
    <row r="61" spans="2:26" ht="53.25" customHeight="1" x14ac:dyDescent="0.25">
      <c r="B61" s="406" t="s">
        <v>903</v>
      </c>
      <c r="C61" s="408" t="s">
        <v>949</v>
      </c>
      <c r="D61" s="407" t="s">
        <v>956</v>
      </c>
      <c r="E61" s="404">
        <v>0</v>
      </c>
      <c r="F61" s="404"/>
      <c r="G61" s="404"/>
      <c r="H61" s="404"/>
      <c r="I61" s="404">
        <v>10000000</v>
      </c>
      <c r="J61" s="404"/>
      <c r="K61" s="404"/>
      <c r="L61" s="404"/>
      <c r="M61" s="404">
        <f>+Tabla14[[#This Row],[Escenario 5: Monto ajustado aprobado por la CGR]]+Tabla14[[#This Row],[Modificación 01-2021]]+Tabla14[[#This Row],[MN01-2021]]+Tabla14[[#This Row],[MN02-2022]]+Tabla14[[#This Row],[Modificación 02-2021]]+Tabla14[[#This Row],[Modificación 03-2021]]+Tabla14[[#This Row],[PE-01-2021]]+Tabla14[[#This Row],[MN03-20221]]</f>
        <v>10000000</v>
      </c>
      <c r="N61" s="404">
        <v>10000000</v>
      </c>
      <c r="O61" s="404">
        <v>0</v>
      </c>
      <c r="P61" s="404">
        <v>0</v>
      </c>
      <c r="Q61" s="404">
        <f>+Tabla14[[#This Row],[Presupuesto total]]-Tabla14[[#This Row],[Resevas]]-Tabla14[[#This Row],[Compromisos ]]-Tabla14[[#This Row],[Ejecutado]]</f>
        <v>0</v>
      </c>
      <c r="R61" s="409" t="s">
        <v>15</v>
      </c>
      <c r="S61" s="405" t="s">
        <v>842</v>
      </c>
      <c r="T61" s="405"/>
      <c r="U61" s="406" t="s">
        <v>856</v>
      </c>
      <c r="V61" s="406" t="s">
        <v>857</v>
      </c>
      <c r="W61" s="410" t="s">
        <v>856</v>
      </c>
      <c r="X61" s="406" t="s">
        <v>858</v>
      </c>
      <c r="Y61" s="407" t="s">
        <v>957</v>
      </c>
      <c r="Z61" s="406"/>
    </row>
    <row r="62" spans="2:26" ht="53.25" customHeight="1" x14ac:dyDescent="0.25">
      <c r="B62" s="406" t="s">
        <v>903</v>
      </c>
      <c r="C62" s="408" t="s">
        <v>949</v>
      </c>
      <c r="D62" s="407" t="s">
        <v>956</v>
      </c>
      <c r="E62" s="404">
        <v>0</v>
      </c>
      <c r="F62" s="404"/>
      <c r="G62" s="404"/>
      <c r="H62" s="404"/>
      <c r="I62" s="404">
        <v>6500000</v>
      </c>
      <c r="J62" s="404"/>
      <c r="K62" s="404"/>
      <c r="L62" s="404"/>
      <c r="M62" s="404">
        <f>+Tabla14[[#This Row],[Escenario 5: Monto ajustado aprobado por la CGR]]+Tabla14[[#This Row],[Modificación 01-2021]]+Tabla14[[#This Row],[MN01-2021]]+Tabla14[[#This Row],[MN02-2022]]+Tabla14[[#This Row],[Modificación 02-2021]]+Tabla14[[#This Row],[Modificación 03-2021]]+Tabla14[[#This Row],[PE-01-2021]]+Tabla14[[#This Row],[MN03-20221]]</f>
        <v>6500000</v>
      </c>
      <c r="N62" s="404">
        <v>6500000</v>
      </c>
      <c r="O62" s="404">
        <v>0</v>
      </c>
      <c r="P62" s="404">
        <v>0</v>
      </c>
      <c r="Q62" s="404">
        <f>+Tabla14[[#This Row],[Presupuesto total]]-Tabla14[[#This Row],[Resevas]]-Tabla14[[#This Row],[Compromisos ]]-Tabla14[[#This Row],[Ejecutado]]</f>
        <v>0</v>
      </c>
      <c r="R62" s="409" t="s">
        <v>15</v>
      </c>
      <c r="S62" s="405" t="s">
        <v>842</v>
      </c>
      <c r="T62" s="405"/>
      <c r="U62" s="406" t="s">
        <v>951</v>
      </c>
      <c r="V62" s="406" t="s">
        <v>952</v>
      </c>
      <c r="W62" s="406" t="s">
        <v>951</v>
      </c>
      <c r="X62" s="406"/>
      <c r="Y62" s="407" t="s">
        <v>958</v>
      </c>
      <c r="Z62" s="406"/>
    </row>
    <row r="63" spans="2:26" ht="94.5" x14ac:dyDescent="0.25">
      <c r="B63" s="406" t="s">
        <v>903</v>
      </c>
      <c r="C63" s="408" t="s">
        <v>949</v>
      </c>
      <c r="D63" s="407" t="s">
        <v>959</v>
      </c>
      <c r="E63" s="404">
        <f>31170000+8646000</f>
        <v>39816000</v>
      </c>
      <c r="F63" s="404"/>
      <c r="G63" s="404"/>
      <c r="H63" s="404"/>
      <c r="I63" s="404">
        <v>3400000</v>
      </c>
      <c r="J63" s="404"/>
      <c r="K63" s="404"/>
      <c r="L63" s="404"/>
      <c r="M63" s="404">
        <f>+Tabla14[[#This Row],[Escenario 5: Monto ajustado aprobado por la CGR]]+Tabla14[[#This Row],[Modificación 01-2021]]+Tabla14[[#This Row],[MN01-2021]]+Tabla14[[#This Row],[MN02-2022]]+Tabla14[[#This Row],[Modificación 02-2021]]+Tabla14[[#This Row],[Modificación 03-2021]]+Tabla14[[#This Row],[PE-01-2021]]+Tabla14[[#This Row],[MN03-20221]]</f>
        <v>43216000</v>
      </c>
      <c r="N63" s="404">
        <v>2535367.1800000002</v>
      </c>
      <c r="O63" s="404">
        <v>22422293.489999998</v>
      </c>
      <c r="P63" s="404">
        <v>16167793.85</v>
      </c>
      <c r="Q63" s="404">
        <f>+Tabla14[[#This Row],[Presupuesto total]]-Tabla14[[#This Row],[Resevas]]-Tabla14[[#This Row],[Compromisos ]]-Tabla14[[#This Row],[Ejecutado]]</f>
        <v>2090545.4800000023</v>
      </c>
      <c r="R63" s="409" t="s">
        <v>15</v>
      </c>
      <c r="S63" s="405" t="s">
        <v>842</v>
      </c>
      <c r="T63" s="405" t="s">
        <v>913</v>
      </c>
      <c r="U63" s="406" t="s">
        <v>914</v>
      </c>
      <c r="V63" s="406" t="s">
        <v>915</v>
      </c>
      <c r="W63" s="406" t="s">
        <v>914</v>
      </c>
      <c r="X63" s="406" t="s">
        <v>916</v>
      </c>
      <c r="Y63" s="407" t="s">
        <v>960</v>
      </c>
      <c r="Z63" s="406"/>
    </row>
    <row r="64" spans="2:26" ht="81" x14ac:dyDescent="0.25">
      <c r="B64" s="406" t="s">
        <v>903</v>
      </c>
      <c r="C64" s="408" t="s">
        <v>949</v>
      </c>
      <c r="D64" s="407" t="s">
        <v>959</v>
      </c>
      <c r="E64" s="404">
        <v>282500</v>
      </c>
      <c r="F64" s="404"/>
      <c r="G64" s="404"/>
      <c r="H64" s="404"/>
      <c r="I64" s="404">
        <v>200000</v>
      </c>
      <c r="J64" s="404"/>
      <c r="K64" s="404"/>
      <c r="L64" s="404"/>
      <c r="M64" s="404">
        <f>+Tabla14[[#This Row],[Escenario 5: Monto ajustado aprobado por la CGR]]+Tabla14[[#This Row],[Modificación 01-2021]]+Tabla14[[#This Row],[MN01-2021]]+Tabla14[[#This Row],[MN02-2022]]+Tabla14[[#This Row],[Modificación 02-2021]]+Tabla14[[#This Row],[Modificación 03-2021]]+Tabla14[[#This Row],[PE-01-2021]]+Tabla14[[#This Row],[MN03-20221]]</f>
        <v>482500</v>
      </c>
      <c r="N64" s="404">
        <v>0</v>
      </c>
      <c r="O64" s="404">
        <v>0</v>
      </c>
      <c r="P64" s="404">
        <v>0</v>
      </c>
      <c r="Q64" s="404">
        <f>+Tabla14[[#This Row],[Presupuesto total]]-Tabla14[[#This Row],[Resevas]]-Tabla14[[#This Row],[Compromisos ]]-Tabla14[[#This Row],[Ejecutado]]</f>
        <v>482500</v>
      </c>
      <c r="R64" s="409" t="s">
        <v>15</v>
      </c>
      <c r="S64" s="405" t="s">
        <v>842</v>
      </c>
      <c r="T64" s="405" t="s">
        <v>961</v>
      </c>
      <c r="U64" s="410" t="s">
        <v>951</v>
      </c>
      <c r="V64" s="401" t="s">
        <v>962</v>
      </c>
      <c r="W64" s="410" t="s">
        <v>951</v>
      </c>
      <c r="X64" s="401" t="s">
        <v>963</v>
      </c>
      <c r="Y64" s="407" t="s">
        <v>964</v>
      </c>
      <c r="Z64" s="406"/>
    </row>
    <row r="65" spans="2:26" ht="54" x14ac:dyDescent="0.25">
      <c r="B65" s="406" t="s">
        <v>903</v>
      </c>
      <c r="C65" s="408" t="s">
        <v>949</v>
      </c>
      <c r="D65" s="407" t="s">
        <v>965</v>
      </c>
      <c r="E65" s="404">
        <v>85000</v>
      </c>
      <c r="F65" s="404"/>
      <c r="G65" s="404"/>
      <c r="H65" s="404"/>
      <c r="I65" s="404"/>
      <c r="J65" s="404"/>
      <c r="K65" s="404"/>
      <c r="L65" s="404"/>
      <c r="M65" s="404">
        <f>+Tabla14[[#This Row],[Escenario 5: Monto ajustado aprobado por la CGR]]+Tabla14[[#This Row],[Modificación 01-2021]]+Tabla14[[#This Row],[MN01-2021]]+Tabla14[[#This Row],[MN02-2022]]+Tabla14[[#This Row],[Modificación 02-2021]]+Tabla14[[#This Row],[Modificación 03-2021]]+Tabla14[[#This Row],[PE-01-2021]]+Tabla14[[#This Row],[MN03-20221]]</f>
        <v>85000</v>
      </c>
      <c r="N65" s="404">
        <v>85000</v>
      </c>
      <c r="O65" s="404">
        <v>0</v>
      </c>
      <c r="P65" s="404">
        <v>0</v>
      </c>
      <c r="Q65" s="404">
        <f>+Tabla14[[#This Row],[Presupuesto total]]-Tabla14[[#This Row],[Resevas]]-Tabla14[[#This Row],[Compromisos ]]-Tabla14[[#This Row],[Ejecutado]]</f>
        <v>0</v>
      </c>
      <c r="R65" s="409" t="s">
        <v>15</v>
      </c>
      <c r="S65" s="405" t="s">
        <v>842</v>
      </c>
      <c r="T65" s="405" t="s">
        <v>913</v>
      </c>
      <c r="U65" s="406" t="s">
        <v>914</v>
      </c>
      <c r="V65" s="406" t="s">
        <v>915</v>
      </c>
      <c r="W65" s="406" t="s">
        <v>914</v>
      </c>
      <c r="X65" s="406" t="s">
        <v>916</v>
      </c>
      <c r="Y65" s="406" t="s">
        <v>966</v>
      </c>
      <c r="Z65" s="406"/>
    </row>
    <row r="66" spans="2:26" ht="54" x14ac:dyDescent="0.25">
      <c r="B66" s="406" t="s">
        <v>903</v>
      </c>
      <c r="C66" s="408" t="s">
        <v>967</v>
      </c>
      <c r="D66" s="407" t="s">
        <v>968</v>
      </c>
      <c r="E66" s="404">
        <f>2285789+759632.4</f>
        <v>3045421.4</v>
      </c>
      <c r="F66" s="404"/>
      <c r="G66" s="404"/>
      <c r="H66" s="404">
        <v>435000</v>
      </c>
      <c r="I66" s="404"/>
      <c r="J66" s="404"/>
      <c r="K66" s="404"/>
      <c r="L66" s="404">
        <v>-104553</v>
      </c>
      <c r="M66" s="404">
        <f>+Tabla14[[#This Row],[Escenario 5: Monto ajustado aprobado por la CGR]]+Tabla14[[#This Row],[Modificación 01-2021]]+Tabla14[[#This Row],[MN01-2021]]+Tabla14[[#This Row],[MN02-2022]]+Tabla14[[#This Row],[Modificación 02-2021]]+Tabla14[[#This Row],[Modificación 03-2021]]+Tabla14[[#This Row],[PE-01-2021]]+Tabla14[[#This Row],[MN03-20221]]</f>
        <v>3375868.4</v>
      </c>
      <c r="N66" s="404">
        <v>613416</v>
      </c>
      <c r="O66" s="404">
        <v>0</v>
      </c>
      <c r="P66" s="404">
        <v>2752151</v>
      </c>
      <c r="Q66" s="404">
        <f>+Tabla14[[#This Row],[Presupuesto total]]-Tabla14[[#This Row],[Resevas]]-Tabla14[[#This Row],[Compromisos ]]-Tabla14[[#This Row],[Ejecutado]]</f>
        <v>10301.399999999907</v>
      </c>
      <c r="R66" s="409" t="s">
        <v>15</v>
      </c>
      <c r="S66" s="405" t="s">
        <v>842</v>
      </c>
      <c r="T66" s="405" t="s">
        <v>913</v>
      </c>
      <c r="U66" s="406" t="s">
        <v>914</v>
      </c>
      <c r="V66" s="406" t="s">
        <v>915</v>
      </c>
      <c r="W66" s="406" t="s">
        <v>914</v>
      </c>
      <c r="X66" s="406" t="s">
        <v>916</v>
      </c>
      <c r="Y66" s="407" t="s">
        <v>969</v>
      </c>
      <c r="Z66" s="406"/>
    </row>
    <row r="67" spans="2:26" ht="40.5" x14ac:dyDescent="0.25">
      <c r="B67" s="406" t="s">
        <v>903</v>
      </c>
      <c r="C67" s="408" t="s">
        <v>967</v>
      </c>
      <c r="D67" s="407" t="s">
        <v>968</v>
      </c>
      <c r="E67" s="413">
        <v>4000000</v>
      </c>
      <c r="F67" s="413"/>
      <c r="G67" s="413"/>
      <c r="H67" s="413">
        <v>-435000</v>
      </c>
      <c r="I67" s="413">
        <v>-1065000</v>
      </c>
      <c r="J67" s="413"/>
      <c r="K67" s="413"/>
      <c r="L67" s="413"/>
      <c r="M67" s="404">
        <f>+Tabla14[[#This Row],[Escenario 5: Monto ajustado aprobado por la CGR]]+Tabla14[[#This Row],[Modificación 01-2021]]+Tabla14[[#This Row],[MN01-2021]]+Tabla14[[#This Row],[MN02-2022]]+Tabla14[[#This Row],[Modificación 02-2021]]+Tabla14[[#This Row],[Modificación 03-2021]]+Tabla14[[#This Row],[PE-01-2021]]+Tabla14[[#This Row],[MN03-20221]]</f>
        <v>2500000</v>
      </c>
      <c r="N67" s="404">
        <v>0</v>
      </c>
      <c r="O67" s="404">
        <v>0</v>
      </c>
      <c r="P67" s="404">
        <v>2434558</v>
      </c>
      <c r="Q67" s="404">
        <f>+Tabla14[[#This Row],[Presupuesto total]]-Tabla14[[#This Row],[Resevas]]-Tabla14[[#This Row],[Compromisos ]]-Tabla14[[#This Row],[Ejecutado]]</f>
        <v>65442</v>
      </c>
      <c r="R67" s="409" t="s">
        <v>15</v>
      </c>
      <c r="S67" s="405" t="s">
        <v>842</v>
      </c>
      <c r="T67" s="405" t="s">
        <v>961</v>
      </c>
      <c r="U67" s="406" t="s">
        <v>951</v>
      </c>
      <c r="V67" s="401" t="s">
        <v>962</v>
      </c>
      <c r="W67" s="410" t="s">
        <v>951</v>
      </c>
      <c r="X67" s="407" t="s">
        <v>847</v>
      </c>
      <c r="Y67" s="406" t="s">
        <v>970</v>
      </c>
      <c r="Z67" s="406"/>
    </row>
    <row r="68" spans="2:26" ht="37.5" customHeight="1" x14ac:dyDescent="0.25">
      <c r="B68" s="407" t="s">
        <v>903</v>
      </c>
      <c r="C68" s="408" t="s">
        <v>967</v>
      </c>
      <c r="D68" s="407" t="s">
        <v>968</v>
      </c>
      <c r="E68" s="404">
        <v>800000</v>
      </c>
      <c r="F68" s="404"/>
      <c r="G68" s="404"/>
      <c r="H68" s="404"/>
      <c r="I68" s="404"/>
      <c r="J68" s="404"/>
      <c r="K68" s="404"/>
      <c r="L68" s="404">
        <v>104553</v>
      </c>
      <c r="M68" s="404">
        <f>+Tabla14[[#This Row],[Escenario 5: Monto ajustado aprobado por la CGR]]+Tabla14[[#This Row],[Modificación 01-2021]]+Tabla14[[#This Row],[MN01-2021]]+Tabla14[[#This Row],[MN02-2022]]+Tabla14[[#This Row],[Modificación 02-2021]]+Tabla14[[#This Row],[Modificación 03-2021]]+Tabla14[[#This Row],[PE-01-2021]]+Tabla14[[#This Row],[MN03-20221]]</f>
        <v>904553</v>
      </c>
      <c r="N68" s="404">
        <v>0</v>
      </c>
      <c r="O68" s="404">
        <v>0</v>
      </c>
      <c r="P68" s="404">
        <v>904553</v>
      </c>
      <c r="Q68" s="404">
        <f>+Tabla14[[#This Row],[Presupuesto total]]-Tabla14[[#This Row],[Resevas]]-Tabla14[[#This Row],[Compromisos ]]-Tabla14[[#This Row],[Ejecutado]]</f>
        <v>0</v>
      </c>
      <c r="R68" s="409" t="s">
        <v>15</v>
      </c>
      <c r="S68" s="405" t="s">
        <v>842</v>
      </c>
      <c r="T68" s="405" t="s">
        <v>906</v>
      </c>
      <c r="U68" s="406" t="s">
        <v>907</v>
      </c>
      <c r="V68" s="406" t="s">
        <v>908</v>
      </c>
      <c r="W68" s="406" t="s">
        <v>907</v>
      </c>
      <c r="X68" s="406" t="s">
        <v>909</v>
      </c>
      <c r="Y68" s="407" t="s">
        <v>971</v>
      </c>
      <c r="Z68" s="407"/>
    </row>
    <row r="69" spans="2:26" ht="81" x14ac:dyDescent="0.25">
      <c r="B69" s="406" t="s">
        <v>903</v>
      </c>
      <c r="C69" s="408" t="s">
        <v>972</v>
      </c>
      <c r="D69" s="407" t="s">
        <v>973</v>
      </c>
      <c r="E69" s="404">
        <v>1000000</v>
      </c>
      <c r="F69" s="404"/>
      <c r="G69" s="404"/>
      <c r="H69" s="404"/>
      <c r="I69" s="404">
        <v>1000000</v>
      </c>
      <c r="J69" s="404"/>
      <c r="K69" s="404"/>
      <c r="L69" s="404"/>
      <c r="M69" s="404">
        <f>+Tabla14[[#This Row],[Escenario 5: Monto ajustado aprobado por la CGR]]+Tabla14[[#This Row],[Modificación 01-2021]]+Tabla14[[#This Row],[MN01-2021]]+Tabla14[[#This Row],[MN02-2022]]+Tabla14[[#This Row],[Modificación 02-2021]]+Tabla14[[#This Row],[Modificación 03-2021]]+Tabla14[[#This Row],[PE-01-2021]]+Tabla14[[#This Row],[MN03-20221]]</f>
        <v>2000000</v>
      </c>
      <c r="N69" s="404">
        <v>2000000</v>
      </c>
      <c r="O69" s="404">
        <v>0</v>
      </c>
      <c r="P69" s="404">
        <v>0</v>
      </c>
      <c r="Q69" s="404">
        <f>+Tabla14[[#This Row],[Presupuesto total]]-Tabla14[[#This Row],[Resevas]]-Tabla14[[#This Row],[Compromisos ]]-Tabla14[[#This Row],[Ejecutado]]</f>
        <v>0</v>
      </c>
      <c r="R69" s="409" t="s">
        <v>15</v>
      </c>
      <c r="S69" s="405" t="s">
        <v>842</v>
      </c>
      <c r="T69" s="405" t="s">
        <v>913</v>
      </c>
      <c r="U69" s="406" t="s">
        <v>914</v>
      </c>
      <c r="V69" s="406" t="s">
        <v>915</v>
      </c>
      <c r="W69" s="406" t="s">
        <v>914</v>
      </c>
      <c r="X69" s="406" t="s">
        <v>916</v>
      </c>
      <c r="Y69" s="406" t="s">
        <v>974</v>
      </c>
      <c r="Z69" s="406"/>
    </row>
    <row r="70" spans="2:26" ht="38.25" customHeight="1" x14ac:dyDescent="0.25">
      <c r="B70" s="406" t="s">
        <v>903</v>
      </c>
      <c r="C70" s="408" t="s">
        <v>972</v>
      </c>
      <c r="D70" s="403" t="s">
        <v>975</v>
      </c>
      <c r="E70" s="404">
        <v>0</v>
      </c>
      <c r="F70" s="404"/>
      <c r="G70" s="404"/>
      <c r="H70" s="404"/>
      <c r="I70" s="404">
        <v>1200000</v>
      </c>
      <c r="J70" s="404"/>
      <c r="K70" s="404"/>
      <c r="L70" s="404"/>
      <c r="M70" s="404">
        <f>+Tabla14[[#This Row],[Escenario 5: Monto ajustado aprobado por la CGR]]+Tabla14[[#This Row],[Modificación 01-2021]]+Tabla14[[#This Row],[MN01-2021]]+Tabla14[[#This Row],[MN02-2022]]+Tabla14[[#This Row],[Modificación 02-2021]]+Tabla14[[#This Row],[Modificación 03-2021]]+Tabla14[[#This Row],[PE-01-2021]]+Tabla14[[#This Row],[MN03-20221]]</f>
        <v>1200000</v>
      </c>
      <c r="N70" s="404">
        <v>0</v>
      </c>
      <c r="O70" s="404">
        <v>0</v>
      </c>
      <c r="P70" s="404">
        <v>0</v>
      </c>
      <c r="Q70" s="404">
        <f>+Tabla14[[#This Row],[Presupuesto total]]-Tabla14[[#This Row],[Resevas]]-Tabla14[[#This Row],[Compromisos ]]-Tabla14[[#This Row],[Ejecutado]]</f>
        <v>1200000</v>
      </c>
      <c r="R70" s="409" t="s">
        <v>15</v>
      </c>
      <c r="S70" s="405" t="s">
        <v>842</v>
      </c>
      <c r="T70" s="405"/>
      <c r="U70" s="406" t="s">
        <v>914</v>
      </c>
      <c r="V70" s="406" t="s">
        <v>915</v>
      </c>
      <c r="W70" s="406" t="s">
        <v>914</v>
      </c>
      <c r="X70" s="406" t="s">
        <v>916</v>
      </c>
      <c r="Y70" s="407" t="s">
        <v>976</v>
      </c>
      <c r="Z70" s="406"/>
    </row>
    <row r="71" spans="2:26" ht="54" x14ac:dyDescent="0.25">
      <c r="B71" s="407" t="s">
        <v>903</v>
      </c>
      <c r="C71" s="408" t="s">
        <v>972</v>
      </c>
      <c r="D71" s="407" t="s">
        <v>977</v>
      </c>
      <c r="E71" s="404">
        <v>734500</v>
      </c>
      <c r="F71" s="404"/>
      <c r="G71" s="404"/>
      <c r="H71" s="404"/>
      <c r="I71" s="404"/>
      <c r="J71" s="404">
        <v>689300</v>
      </c>
      <c r="K71" s="404"/>
      <c r="L71" s="404"/>
      <c r="M71" s="404">
        <f>+Tabla14[[#This Row],[Escenario 5: Monto ajustado aprobado por la CGR]]+Tabla14[[#This Row],[Modificación 01-2021]]+Tabla14[[#This Row],[MN01-2021]]+Tabla14[[#This Row],[MN02-2022]]+Tabla14[[#This Row],[Modificación 02-2021]]+Tabla14[[#This Row],[Modificación 03-2021]]+Tabla14[[#This Row],[PE-01-2021]]+Tabla14[[#This Row],[MN03-20221]]</f>
        <v>1423800</v>
      </c>
      <c r="N71" s="404">
        <v>0</v>
      </c>
      <c r="O71" s="404">
        <v>807950</v>
      </c>
      <c r="P71" s="404">
        <v>615850</v>
      </c>
      <c r="Q71" s="404">
        <f>+Tabla14[[#This Row],[Presupuesto total]]-Tabla14[[#This Row],[Resevas]]-Tabla14[[#This Row],[Compromisos ]]-Tabla14[[#This Row],[Ejecutado]]</f>
        <v>0</v>
      </c>
      <c r="R71" s="409" t="s">
        <v>15</v>
      </c>
      <c r="S71" s="405" t="s">
        <v>842</v>
      </c>
      <c r="T71" s="405" t="s">
        <v>906</v>
      </c>
      <c r="U71" s="406" t="s">
        <v>907</v>
      </c>
      <c r="V71" s="406" t="s">
        <v>908</v>
      </c>
      <c r="W71" s="406" t="s">
        <v>907</v>
      </c>
      <c r="X71" s="406" t="s">
        <v>909</v>
      </c>
      <c r="Y71" s="407" t="s">
        <v>978</v>
      </c>
      <c r="Z71" s="407"/>
    </row>
    <row r="72" spans="2:26" ht="54" x14ac:dyDescent="0.25">
      <c r="B72" s="407" t="s">
        <v>903</v>
      </c>
      <c r="C72" s="408" t="s">
        <v>972</v>
      </c>
      <c r="D72" s="407" t="s">
        <v>979</v>
      </c>
      <c r="E72" s="404">
        <v>67800</v>
      </c>
      <c r="F72" s="404"/>
      <c r="G72" s="404"/>
      <c r="H72" s="404"/>
      <c r="I72" s="404"/>
      <c r="J72" s="404"/>
      <c r="K72" s="404"/>
      <c r="L72" s="404"/>
      <c r="M72" s="404">
        <f>+Tabla14[[#This Row],[Escenario 5: Monto ajustado aprobado por la CGR]]+Tabla14[[#This Row],[Modificación 01-2021]]+Tabla14[[#This Row],[MN01-2021]]+Tabla14[[#This Row],[MN02-2022]]+Tabla14[[#This Row],[Modificación 02-2021]]+Tabla14[[#This Row],[Modificación 03-2021]]+Tabla14[[#This Row],[PE-01-2021]]+Tabla14[[#This Row],[MN03-20221]]</f>
        <v>67800</v>
      </c>
      <c r="N72" s="404">
        <v>0</v>
      </c>
      <c r="O72" s="404">
        <v>67800</v>
      </c>
      <c r="P72" s="404">
        <v>0</v>
      </c>
      <c r="Q72" s="404">
        <f>+Tabla14[[#This Row],[Presupuesto total]]-Tabla14[[#This Row],[Resevas]]-Tabla14[[#This Row],[Compromisos ]]-Tabla14[[#This Row],[Ejecutado]]</f>
        <v>0</v>
      </c>
      <c r="R72" s="409" t="s">
        <v>15</v>
      </c>
      <c r="S72" s="405" t="s">
        <v>842</v>
      </c>
      <c r="T72" s="405" t="s">
        <v>906</v>
      </c>
      <c r="U72" s="406" t="s">
        <v>907</v>
      </c>
      <c r="V72" s="406" t="s">
        <v>908</v>
      </c>
      <c r="W72" s="406" t="s">
        <v>907</v>
      </c>
      <c r="X72" s="406" t="s">
        <v>909</v>
      </c>
      <c r="Y72" s="407" t="s">
        <v>980</v>
      </c>
      <c r="Z72" s="407"/>
    </row>
    <row r="73" spans="2:26" ht="108" x14ac:dyDescent="0.25">
      <c r="B73" s="407" t="s">
        <v>903</v>
      </c>
      <c r="C73" s="408" t="s">
        <v>972</v>
      </c>
      <c r="D73" s="407" t="s">
        <v>981</v>
      </c>
      <c r="E73" s="404">
        <f>192100+12581420+2830000</f>
        <v>15603520</v>
      </c>
      <c r="F73" s="404"/>
      <c r="G73" s="404"/>
      <c r="H73" s="404"/>
      <c r="I73" s="404"/>
      <c r="J73" s="404">
        <v>-713050</v>
      </c>
      <c r="K73" s="404"/>
      <c r="L73" s="404"/>
      <c r="M73" s="404">
        <f>+Tabla14[[#This Row],[Escenario 5: Monto ajustado aprobado por la CGR]]+Tabla14[[#This Row],[Modificación 01-2021]]+Tabla14[[#This Row],[MN01-2021]]+Tabla14[[#This Row],[MN02-2022]]+Tabla14[[#This Row],[Modificación 02-2021]]+Tabla14[[#This Row],[Modificación 03-2021]]+Tabla14[[#This Row],[PE-01-2021]]+Tabla14[[#This Row],[MN03-20221]]</f>
        <v>14890470</v>
      </c>
      <c r="N73" s="404">
        <v>1310000</v>
      </c>
      <c r="O73" s="404">
        <v>8899392.6799999997</v>
      </c>
      <c r="P73" s="404">
        <v>1882219.83</v>
      </c>
      <c r="Q73" s="404">
        <f>+Tabla14[[#This Row],[Presupuesto total]]-Tabla14[[#This Row],[Resevas]]-Tabla14[[#This Row],[Compromisos ]]-Tabla14[[#This Row],[Ejecutado]]</f>
        <v>2798857.49</v>
      </c>
      <c r="R73" s="409" t="s">
        <v>15</v>
      </c>
      <c r="S73" s="405" t="s">
        <v>842</v>
      </c>
      <c r="T73" s="405" t="s">
        <v>906</v>
      </c>
      <c r="U73" s="406" t="s">
        <v>907</v>
      </c>
      <c r="V73" s="406" t="s">
        <v>908</v>
      </c>
      <c r="W73" s="406" t="s">
        <v>907</v>
      </c>
      <c r="X73" s="406" t="s">
        <v>909</v>
      </c>
      <c r="Y73" s="407" t="s">
        <v>982</v>
      </c>
      <c r="Z73" s="407"/>
    </row>
    <row r="74" spans="2:26" ht="40.5" x14ac:dyDescent="0.25">
      <c r="B74" s="407" t="s">
        <v>903</v>
      </c>
      <c r="C74" s="408" t="s">
        <v>983</v>
      </c>
      <c r="D74" s="403" t="s">
        <v>984</v>
      </c>
      <c r="E74" s="404">
        <v>0</v>
      </c>
      <c r="F74" s="404">
        <v>2330000</v>
      </c>
      <c r="G74" s="404"/>
      <c r="H74" s="404"/>
      <c r="I74" s="404"/>
      <c r="J74" s="404"/>
      <c r="K74" s="404"/>
      <c r="L74" s="404"/>
      <c r="M74" s="404">
        <f>+Tabla14[[#This Row],[Escenario 5: Monto ajustado aprobado por la CGR]]+Tabla14[[#This Row],[Modificación 01-2021]]+Tabla14[[#This Row],[MN01-2021]]+Tabla14[[#This Row],[MN02-2022]]+Tabla14[[#This Row],[Modificación 02-2021]]+Tabla14[[#This Row],[Modificación 03-2021]]+Tabla14[[#This Row],[PE-01-2021]]+Tabla14[[#This Row],[MN03-20221]]</f>
        <v>2330000</v>
      </c>
      <c r="N74" s="404">
        <v>0</v>
      </c>
      <c r="O74" s="404">
        <v>0</v>
      </c>
      <c r="P74" s="404">
        <v>2327335</v>
      </c>
      <c r="Q74" s="404">
        <f>+Tabla14[[#This Row],[Presupuesto total]]-Tabla14[[#This Row],[Resevas]]-Tabla14[[#This Row],[Compromisos ]]-Tabla14[[#This Row],[Ejecutado]]</f>
        <v>2665</v>
      </c>
      <c r="R74" s="409" t="s">
        <v>15</v>
      </c>
      <c r="S74" s="405" t="s">
        <v>842</v>
      </c>
      <c r="T74" s="405" t="s">
        <v>961</v>
      </c>
      <c r="U74" s="406" t="s">
        <v>951</v>
      </c>
      <c r="V74" s="406" t="s">
        <v>908</v>
      </c>
      <c r="W74" s="406" t="s">
        <v>951</v>
      </c>
      <c r="X74" s="406"/>
      <c r="Y74" s="407" t="s">
        <v>985</v>
      </c>
      <c r="Z74" s="407"/>
    </row>
    <row r="75" spans="2:26" ht="54" x14ac:dyDescent="0.25">
      <c r="B75" s="406" t="s">
        <v>903</v>
      </c>
      <c r="C75" s="403"/>
      <c r="D75" s="407" t="s">
        <v>986</v>
      </c>
      <c r="E75" s="404">
        <v>625980</v>
      </c>
      <c r="F75" s="404"/>
      <c r="G75" s="404"/>
      <c r="H75" s="404"/>
      <c r="I75" s="404"/>
      <c r="J75" s="404"/>
      <c r="K75" s="404"/>
      <c r="L75" s="404"/>
      <c r="M75" s="404">
        <f>+Tabla14[[#This Row],[Escenario 5: Monto ajustado aprobado por la CGR]]+Tabla14[[#This Row],[Modificación 01-2021]]+Tabla14[[#This Row],[MN01-2021]]+Tabla14[[#This Row],[MN02-2022]]+Tabla14[[#This Row],[Modificación 02-2021]]+Tabla14[[#This Row],[Modificación 03-2021]]+Tabla14[[#This Row],[PE-01-2021]]+Tabla14[[#This Row],[MN03-20221]]</f>
        <v>625980</v>
      </c>
      <c r="N75" s="404">
        <v>625980</v>
      </c>
      <c r="O75" s="404">
        <v>0</v>
      </c>
      <c r="P75" s="404">
        <v>0</v>
      </c>
      <c r="Q75" s="404">
        <f>+Tabla14[[#This Row],[Presupuesto total]]-Tabla14[[#This Row],[Resevas]]-Tabla14[[#This Row],[Compromisos ]]-Tabla14[[#This Row],[Ejecutado]]</f>
        <v>0</v>
      </c>
      <c r="R75" s="409" t="s">
        <v>15</v>
      </c>
      <c r="S75" s="405" t="s">
        <v>842</v>
      </c>
      <c r="T75" s="405" t="s">
        <v>913</v>
      </c>
      <c r="U75" s="406" t="s">
        <v>914</v>
      </c>
      <c r="V75" s="406" t="s">
        <v>915</v>
      </c>
      <c r="W75" s="406" t="s">
        <v>914</v>
      </c>
      <c r="X75" s="406" t="s">
        <v>916</v>
      </c>
      <c r="Y75" s="407" t="s">
        <v>987</v>
      </c>
      <c r="Z75" s="406"/>
    </row>
    <row r="76" spans="2:26" ht="40.5" x14ac:dyDescent="0.25">
      <c r="B76" s="406" t="s">
        <v>903</v>
      </c>
      <c r="C76" s="408" t="s">
        <v>983</v>
      </c>
      <c r="D76" s="407" t="s">
        <v>986</v>
      </c>
      <c r="E76" s="404">
        <v>25000</v>
      </c>
      <c r="F76" s="404"/>
      <c r="G76" s="404"/>
      <c r="H76" s="404"/>
      <c r="I76" s="404"/>
      <c r="J76" s="404"/>
      <c r="K76" s="404"/>
      <c r="L76" s="404"/>
      <c r="M76" s="404">
        <f>+Tabla14[[#This Row],[Escenario 5: Monto ajustado aprobado por la CGR]]+Tabla14[[#This Row],[Modificación 01-2021]]+Tabla14[[#This Row],[MN01-2021]]+Tabla14[[#This Row],[MN02-2022]]+Tabla14[[#This Row],[Modificación 02-2021]]+Tabla14[[#This Row],[Modificación 03-2021]]+Tabla14[[#This Row],[PE-01-2021]]+Tabla14[[#This Row],[MN03-20221]]</f>
        <v>25000</v>
      </c>
      <c r="N76" s="404">
        <v>0</v>
      </c>
      <c r="O76" s="404">
        <v>0</v>
      </c>
      <c r="P76" s="404">
        <v>0</v>
      </c>
      <c r="Q76" s="404">
        <f>+Tabla14[[#This Row],[Presupuesto total]]-Tabla14[[#This Row],[Resevas]]-Tabla14[[#This Row],[Compromisos ]]-Tabla14[[#This Row],[Ejecutado]]</f>
        <v>25000</v>
      </c>
      <c r="R76" s="409" t="s">
        <v>15</v>
      </c>
      <c r="S76" s="405" t="s">
        <v>842</v>
      </c>
      <c r="T76" s="405" t="s">
        <v>988</v>
      </c>
      <c r="U76" s="410" t="s">
        <v>989</v>
      </c>
      <c r="V76" s="406" t="s">
        <v>990</v>
      </c>
      <c r="W76" s="406" t="s">
        <v>991</v>
      </c>
      <c r="X76" s="406" t="s">
        <v>992</v>
      </c>
      <c r="Y76" s="407" t="s">
        <v>993</v>
      </c>
      <c r="Z76" s="407"/>
    </row>
    <row r="77" spans="2:26" ht="54" x14ac:dyDescent="0.25">
      <c r="B77" s="406" t="s">
        <v>994</v>
      </c>
      <c r="C77" s="408" t="s">
        <v>995</v>
      </c>
      <c r="D77" s="407" t="s">
        <v>996</v>
      </c>
      <c r="E77" s="404">
        <v>350000</v>
      </c>
      <c r="F77" s="404"/>
      <c r="G77" s="404"/>
      <c r="H77" s="404"/>
      <c r="I77" s="404"/>
      <c r="J77" s="404"/>
      <c r="K77" s="404"/>
      <c r="L77" s="404"/>
      <c r="M77" s="404">
        <f>+Tabla14[[#This Row],[Escenario 5: Monto ajustado aprobado por la CGR]]+Tabla14[[#This Row],[Modificación 01-2021]]+Tabla14[[#This Row],[MN01-2021]]+Tabla14[[#This Row],[MN02-2022]]+Tabla14[[#This Row],[Modificación 02-2021]]+Tabla14[[#This Row],[Modificación 03-2021]]+Tabla14[[#This Row],[PE-01-2021]]+Tabla14[[#This Row],[MN03-20221]]</f>
        <v>350000</v>
      </c>
      <c r="N77" s="404">
        <v>272543</v>
      </c>
      <c r="O77" s="404">
        <v>0</v>
      </c>
      <c r="P77" s="404">
        <v>77456.7</v>
      </c>
      <c r="Q77" s="404">
        <f>+Tabla14[[#This Row],[Presupuesto total]]-Tabla14[[#This Row],[Resevas]]-Tabla14[[#This Row],[Compromisos ]]-Tabla14[[#This Row],[Ejecutado]]</f>
        <v>0.30000000000291038</v>
      </c>
      <c r="R77" s="409" t="s">
        <v>15</v>
      </c>
      <c r="S77" s="405" t="s">
        <v>842</v>
      </c>
      <c r="T77" s="405" t="s">
        <v>913</v>
      </c>
      <c r="U77" s="406" t="s">
        <v>914</v>
      </c>
      <c r="V77" s="406" t="s">
        <v>915</v>
      </c>
      <c r="W77" s="406" t="s">
        <v>914</v>
      </c>
      <c r="X77" s="406" t="s">
        <v>916</v>
      </c>
      <c r="Y77" s="406" t="s">
        <v>997</v>
      </c>
      <c r="Z77" s="406"/>
    </row>
    <row r="78" spans="2:26" ht="54" x14ac:dyDescent="0.25">
      <c r="B78" s="406" t="s">
        <v>994</v>
      </c>
      <c r="C78" s="408" t="s">
        <v>995</v>
      </c>
      <c r="D78" s="407" t="s">
        <v>998</v>
      </c>
      <c r="E78" s="404">
        <v>150000</v>
      </c>
      <c r="F78" s="404"/>
      <c r="G78" s="404"/>
      <c r="H78" s="404"/>
      <c r="I78" s="404"/>
      <c r="J78" s="404"/>
      <c r="K78" s="404"/>
      <c r="L78" s="404"/>
      <c r="M78" s="404">
        <f>+Tabla14[[#This Row],[Escenario 5: Monto ajustado aprobado por la CGR]]+Tabla14[[#This Row],[Modificación 01-2021]]+Tabla14[[#This Row],[MN01-2021]]+Tabla14[[#This Row],[MN02-2022]]+Tabla14[[#This Row],[Modificación 02-2021]]+Tabla14[[#This Row],[Modificación 03-2021]]+Tabla14[[#This Row],[PE-01-2021]]+Tabla14[[#This Row],[MN03-20221]]</f>
        <v>150000</v>
      </c>
      <c r="N78" s="404">
        <v>0</v>
      </c>
      <c r="O78" s="404">
        <v>0</v>
      </c>
      <c r="P78" s="404">
        <v>0</v>
      </c>
      <c r="Q78" s="404">
        <f>+Tabla14[[#This Row],[Presupuesto total]]-Tabla14[[#This Row],[Resevas]]-Tabla14[[#This Row],[Compromisos ]]-Tabla14[[#This Row],[Ejecutado]]</f>
        <v>150000</v>
      </c>
      <c r="R78" s="409" t="s">
        <v>15</v>
      </c>
      <c r="S78" s="405" t="s">
        <v>842</v>
      </c>
      <c r="T78" s="405" t="s">
        <v>913</v>
      </c>
      <c r="U78" s="406" t="s">
        <v>914</v>
      </c>
      <c r="V78" s="406" t="s">
        <v>915</v>
      </c>
      <c r="W78" s="406" t="s">
        <v>914</v>
      </c>
      <c r="X78" s="406" t="s">
        <v>916</v>
      </c>
      <c r="Y78" s="406" t="s">
        <v>999</v>
      </c>
      <c r="Z78" s="406" t="s">
        <v>1000</v>
      </c>
    </row>
    <row r="79" spans="2:26" ht="67.5" x14ac:dyDescent="0.25">
      <c r="B79" s="407" t="s">
        <v>994</v>
      </c>
      <c r="C79" s="412" t="s">
        <v>1001</v>
      </c>
      <c r="D79" s="407" t="s">
        <v>1002</v>
      </c>
      <c r="E79" s="404">
        <v>615000</v>
      </c>
      <c r="F79" s="404"/>
      <c r="G79" s="404"/>
      <c r="H79" s="404"/>
      <c r="I79" s="404"/>
      <c r="J79" s="404"/>
      <c r="K79" s="404"/>
      <c r="L79" s="404"/>
      <c r="M79" s="404">
        <f>+Tabla14[[#This Row],[Escenario 5: Monto ajustado aprobado por la CGR]]+Tabla14[[#This Row],[Modificación 01-2021]]+Tabla14[[#This Row],[MN01-2021]]+Tabla14[[#This Row],[MN02-2022]]+Tabla14[[#This Row],[Modificación 02-2021]]+Tabla14[[#This Row],[Modificación 03-2021]]+Tabla14[[#This Row],[PE-01-2021]]+Tabla14[[#This Row],[MN03-20221]]</f>
        <v>615000</v>
      </c>
      <c r="N79" s="404">
        <v>0</v>
      </c>
      <c r="O79" s="404">
        <v>0</v>
      </c>
      <c r="P79" s="404">
        <v>0</v>
      </c>
      <c r="Q79" s="404">
        <f>+Tabla14[[#This Row],[Presupuesto total]]-Tabla14[[#This Row],[Resevas]]-Tabla14[[#This Row],[Compromisos ]]-Tabla14[[#This Row],[Ejecutado]]</f>
        <v>615000</v>
      </c>
      <c r="R79" s="409" t="s">
        <v>15</v>
      </c>
      <c r="S79" s="405" t="s">
        <v>842</v>
      </c>
      <c r="T79" s="405" t="s">
        <v>906</v>
      </c>
      <c r="U79" s="406" t="s">
        <v>907</v>
      </c>
      <c r="V79" s="406" t="s">
        <v>908</v>
      </c>
      <c r="W79" s="406" t="s">
        <v>907</v>
      </c>
      <c r="X79" s="406" t="s">
        <v>909</v>
      </c>
      <c r="Y79" s="407" t="s">
        <v>1003</v>
      </c>
      <c r="Z79" s="407"/>
    </row>
    <row r="80" spans="2:26" ht="54" x14ac:dyDescent="0.25">
      <c r="B80" s="406" t="s">
        <v>994</v>
      </c>
      <c r="C80" s="408" t="s">
        <v>1004</v>
      </c>
      <c r="D80" s="407" t="s">
        <v>1005</v>
      </c>
      <c r="E80" s="404">
        <v>200000</v>
      </c>
      <c r="F80" s="404"/>
      <c r="G80" s="404"/>
      <c r="H80" s="404"/>
      <c r="I80" s="404">
        <v>225000</v>
      </c>
      <c r="J80" s="404"/>
      <c r="K80" s="404"/>
      <c r="L80" s="404"/>
      <c r="M80" s="404">
        <f>+Tabla14[[#This Row],[Escenario 5: Monto ajustado aprobado por la CGR]]+Tabla14[[#This Row],[Modificación 01-2021]]+Tabla14[[#This Row],[MN01-2021]]+Tabla14[[#This Row],[MN02-2022]]+Tabla14[[#This Row],[Modificación 02-2021]]+Tabla14[[#This Row],[Modificación 03-2021]]+Tabla14[[#This Row],[PE-01-2021]]+Tabla14[[#This Row],[MN03-20221]]</f>
        <v>425000</v>
      </c>
      <c r="N80" s="404">
        <v>0</v>
      </c>
      <c r="O80" s="404">
        <v>0</v>
      </c>
      <c r="P80" s="404">
        <v>0</v>
      </c>
      <c r="Q80" s="404">
        <f>+Tabla14[[#This Row],[Presupuesto total]]-Tabla14[[#This Row],[Resevas]]-Tabla14[[#This Row],[Compromisos ]]-Tabla14[[#This Row],[Ejecutado]]</f>
        <v>425000</v>
      </c>
      <c r="R80" s="409" t="s">
        <v>15</v>
      </c>
      <c r="S80" s="405" t="s">
        <v>842</v>
      </c>
      <c r="T80" s="405" t="s">
        <v>913</v>
      </c>
      <c r="U80" s="406" t="s">
        <v>914</v>
      </c>
      <c r="V80" s="406" t="s">
        <v>915</v>
      </c>
      <c r="W80" s="406" t="s">
        <v>914</v>
      </c>
      <c r="X80" s="406" t="s">
        <v>916</v>
      </c>
      <c r="Y80" s="407" t="s">
        <v>1006</v>
      </c>
      <c r="Z80" s="406" t="s">
        <v>1007</v>
      </c>
    </row>
    <row r="81" spans="2:26" ht="54" x14ac:dyDescent="0.25">
      <c r="B81" s="406" t="s">
        <v>994</v>
      </c>
      <c r="C81" s="408" t="s">
        <v>1008</v>
      </c>
      <c r="D81" s="407" t="s">
        <v>1009</v>
      </c>
      <c r="E81" s="404">
        <v>37500</v>
      </c>
      <c r="F81" s="404"/>
      <c r="G81" s="404"/>
      <c r="H81" s="404"/>
      <c r="I81" s="404"/>
      <c r="J81" s="404"/>
      <c r="K81" s="404"/>
      <c r="L81" s="404"/>
      <c r="M81" s="404">
        <f>+Tabla14[[#This Row],[Escenario 5: Monto ajustado aprobado por la CGR]]+Tabla14[[#This Row],[Modificación 01-2021]]+Tabla14[[#This Row],[MN01-2021]]+Tabla14[[#This Row],[MN02-2022]]+Tabla14[[#This Row],[Modificación 02-2021]]+Tabla14[[#This Row],[Modificación 03-2021]]+Tabla14[[#This Row],[PE-01-2021]]+Tabla14[[#This Row],[MN03-20221]]</f>
        <v>37500</v>
      </c>
      <c r="N81" s="404">
        <v>0</v>
      </c>
      <c r="O81" s="404">
        <v>0</v>
      </c>
      <c r="P81" s="404">
        <v>0</v>
      </c>
      <c r="Q81" s="404">
        <f>+Tabla14[[#This Row],[Presupuesto total]]-Tabla14[[#This Row],[Resevas]]-Tabla14[[#This Row],[Compromisos ]]-Tabla14[[#This Row],[Ejecutado]]</f>
        <v>37500</v>
      </c>
      <c r="R81" s="409" t="s">
        <v>15</v>
      </c>
      <c r="S81" s="405" t="s">
        <v>842</v>
      </c>
      <c r="T81" s="405" t="s">
        <v>913</v>
      </c>
      <c r="U81" s="406" t="s">
        <v>914</v>
      </c>
      <c r="V81" s="406" t="s">
        <v>915</v>
      </c>
      <c r="W81" s="406" t="s">
        <v>914</v>
      </c>
      <c r="X81" s="406" t="s">
        <v>916</v>
      </c>
      <c r="Y81" s="407" t="s">
        <v>1010</v>
      </c>
      <c r="Z81" s="406"/>
    </row>
    <row r="82" spans="2:26" ht="40.5" x14ac:dyDescent="0.25">
      <c r="B82" s="406" t="s">
        <v>994</v>
      </c>
      <c r="C82" s="408" t="s">
        <v>1008</v>
      </c>
      <c r="D82" s="407" t="s">
        <v>1011</v>
      </c>
      <c r="E82" s="404">
        <v>100000</v>
      </c>
      <c r="F82" s="404"/>
      <c r="G82" s="404"/>
      <c r="H82" s="404"/>
      <c r="I82" s="404"/>
      <c r="J82" s="404"/>
      <c r="K82" s="404"/>
      <c r="L82" s="404"/>
      <c r="M82" s="404">
        <f>+Tabla14[[#This Row],[Escenario 5: Monto ajustado aprobado por la CGR]]+Tabla14[[#This Row],[Modificación 01-2021]]+Tabla14[[#This Row],[MN01-2021]]+Tabla14[[#This Row],[MN02-2022]]+Tabla14[[#This Row],[Modificación 02-2021]]+Tabla14[[#This Row],[Modificación 03-2021]]+Tabla14[[#This Row],[PE-01-2021]]+Tabla14[[#This Row],[MN03-20221]]</f>
        <v>100000</v>
      </c>
      <c r="N82" s="404">
        <v>0</v>
      </c>
      <c r="O82" s="404">
        <v>0</v>
      </c>
      <c r="P82" s="404">
        <v>0</v>
      </c>
      <c r="Q82" s="404">
        <f>+Tabla14[[#This Row],[Presupuesto total]]-Tabla14[[#This Row],[Resevas]]-Tabla14[[#This Row],[Compromisos ]]-Tabla14[[#This Row],[Ejecutado]]</f>
        <v>100000</v>
      </c>
      <c r="R82" s="409" t="s">
        <v>15</v>
      </c>
      <c r="S82" s="405" t="s">
        <v>842</v>
      </c>
      <c r="T82" s="405" t="s">
        <v>961</v>
      </c>
      <c r="U82" s="410" t="s">
        <v>951</v>
      </c>
      <c r="V82" s="401" t="s">
        <v>962</v>
      </c>
      <c r="W82" s="410" t="s">
        <v>951</v>
      </c>
      <c r="X82" s="401" t="s">
        <v>963</v>
      </c>
      <c r="Y82" s="407" t="s">
        <v>1012</v>
      </c>
      <c r="Z82" s="407"/>
    </row>
    <row r="83" spans="2:26" ht="54" x14ac:dyDescent="0.25">
      <c r="B83" s="406" t="s">
        <v>994</v>
      </c>
      <c r="C83" s="408" t="s">
        <v>1008</v>
      </c>
      <c r="D83" s="407" t="s">
        <v>1013</v>
      </c>
      <c r="E83" s="404">
        <f>37500+30000</f>
        <v>67500</v>
      </c>
      <c r="F83" s="404"/>
      <c r="G83" s="404"/>
      <c r="H83" s="404"/>
      <c r="I83" s="404"/>
      <c r="J83" s="404"/>
      <c r="K83" s="404"/>
      <c r="L83" s="404"/>
      <c r="M83" s="404">
        <f>+Tabla14[[#This Row],[Escenario 5: Monto ajustado aprobado por la CGR]]+Tabla14[[#This Row],[Modificación 01-2021]]+Tabla14[[#This Row],[MN01-2021]]+Tabla14[[#This Row],[MN02-2022]]+Tabla14[[#This Row],[Modificación 02-2021]]+Tabla14[[#This Row],[Modificación 03-2021]]+Tabla14[[#This Row],[PE-01-2021]]+Tabla14[[#This Row],[MN03-20221]]</f>
        <v>67500</v>
      </c>
      <c r="N83" s="404">
        <v>0</v>
      </c>
      <c r="O83" s="404">
        <v>0</v>
      </c>
      <c r="P83" s="404">
        <v>0</v>
      </c>
      <c r="Q83" s="404">
        <f>+Tabla14[[#This Row],[Presupuesto total]]-Tabla14[[#This Row],[Resevas]]-Tabla14[[#This Row],[Compromisos ]]-Tabla14[[#This Row],[Ejecutado]]</f>
        <v>67500</v>
      </c>
      <c r="R83" s="409" t="s">
        <v>15</v>
      </c>
      <c r="S83" s="405" t="s">
        <v>842</v>
      </c>
      <c r="T83" s="405" t="s">
        <v>913</v>
      </c>
      <c r="U83" s="406" t="s">
        <v>914</v>
      </c>
      <c r="V83" s="406" t="s">
        <v>915</v>
      </c>
      <c r="W83" s="406" t="s">
        <v>914</v>
      </c>
      <c r="X83" s="406" t="s">
        <v>916</v>
      </c>
      <c r="Y83" s="407" t="s">
        <v>1014</v>
      </c>
      <c r="Z83" s="406"/>
    </row>
    <row r="84" spans="2:26" ht="232.5" customHeight="1" x14ac:dyDescent="0.25">
      <c r="B84" s="406" t="s">
        <v>1015</v>
      </c>
      <c r="C84" s="412" t="s">
        <v>1016</v>
      </c>
      <c r="D84" s="407" t="s">
        <v>1017</v>
      </c>
      <c r="E84" s="404">
        <v>600000</v>
      </c>
      <c r="F84" s="404"/>
      <c r="G84" s="404"/>
      <c r="H84" s="404"/>
      <c r="I84" s="404"/>
      <c r="J84" s="404"/>
      <c r="K84" s="404"/>
      <c r="L84" s="404"/>
      <c r="M84" s="404">
        <f>+Tabla14[[#This Row],[Escenario 5: Monto ajustado aprobado por la CGR]]+Tabla14[[#This Row],[Modificación 01-2021]]+Tabla14[[#This Row],[MN01-2021]]+Tabla14[[#This Row],[MN02-2022]]+Tabla14[[#This Row],[Modificación 02-2021]]+Tabla14[[#This Row],[Modificación 03-2021]]+Tabla14[[#This Row],[PE-01-2021]]+Tabla14[[#This Row],[MN03-20221]]</f>
        <v>600000</v>
      </c>
      <c r="N84" s="404">
        <v>0</v>
      </c>
      <c r="O84" s="404">
        <v>0</v>
      </c>
      <c r="P84" s="404">
        <v>0</v>
      </c>
      <c r="Q84" s="404">
        <f>+Tabla14[[#This Row],[Presupuesto total]]-Tabla14[[#This Row],[Resevas]]-Tabla14[[#This Row],[Compromisos ]]-Tabla14[[#This Row],[Ejecutado]]</f>
        <v>600000</v>
      </c>
      <c r="R84" s="409" t="s">
        <v>71</v>
      </c>
      <c r="S84" s="409" t="s">
        <v>836</v>
      </c>
      <c r="T84" s="405" t="s">
        <v>855</v>
      </c>
      <c r="U84" s="406" t="s">
        <v>1018</v>
      </c>
      <c r="V84" s="406" t="s">
        <v>1019</v>
      </c>
      <c r="W84" s="410" t="s">
        <v>856</v>
      </c>
      <c r="X84" s="406" t="s">
        <v>858</v>
      </c>
      <c r="Y84" s="406" t="s">
        <v>1020</v>
      </c>
      <c r="Z84" s="406"/>
    </row>
    <row r="85" spans="2:26" ht="27" x14ac:dyDescent="0.25">
      <c r="B85" s="406" t="s">
        <v>1015</v>
      </c>
      <c r="C85" s="408" t="s">
        <v>1016</v>
      </c>
      <c r="D85" s="407" t="s">
        <v>1021</v>
      </c>
      <c r="E85" s="404">
        <v>0</v>
      </c>
      <c r="F85" s="404"/>
      <c r="G85" s="404"/>
      <c r="H85" s="404"/>
      <c r="I85" s="404">
        <v>180000</v>
      </c>
      <c r="J85" s="404"/>
      <c r="K85" s="404"/>
      <c r="L85" s="404"/>
      <c r="M85" s="404">
        <f>+Tabla14[[#This Row],[Escenario 5: Monto ajustado aprobado por la CGR]]+Tabla14[[#This Row],[Modificación 01-2021]]+Tabla14[[#This Row],[MN01-2021]]+Tabla14[[#This Row],[MN02-2022]]+Tabla14[[#This Row],[Modificación 02-2021]]+Tabla14[[#This Row],[Modificación 03-2021]]+Tabla14[[#This Row],[PE-01-2021]]+Tabla14[[#This Row],[MN03-20221]]</f>
        <v>180000</v>
      </c>
      <c r="N85" s="404">
        <v>0</v>
      </c>
      <c r="O85" s="404">
        <v>0</v>
      </c>
      <c r="P85" s="404">
        <v>0</v>
      </c>
      <c r="Q85" s="404">
        <f>+Tabla14[[#This Row],[Presupuesto total]]-Tabla14[[#This Row],[Resevas]]-Tabla14[[#This Row],[Compromisos ]]-Tabla14[[#This Row],[Ejecutado]]</f>
        <v>180000</v>
      </c>
      <c r="R85" s="409" t="s">
        <v>15</v>
      </c>
      <c r="S85" s="405" t="s">
        <v>842</v>
      </c>
      <c r="T85" s="405"/>
      <c r="U85" s="406" t="s">
        <v>914</v>
      </c>
      <c r="V85" s="406" t="s">
        <v>915</v>
      </c>
      <c r="W85" s="406" t="s">
        <v>914</v>
      </c>
      <c r="X85" s="406"/>
      <c r="Y85" s="406" t="s">
        <v>1022</v>
      </c>
      <c r="Z85" s="406"/>
    </row>
    <row r="86" spans="2:26" ht="54" x14ac:dyDescent="0.25">
      <c r="B86" s="407" t="s">
        <v>1015</v>
      </c>
      <c r="C86" s="408" t="s">
        <v>1023</v>
      </c>
      <c r="D86" s="407" t="s">
        <v>1024</v>
      </c>
      <c r="E86" s="404"/>
      <c r="F86" s="404"/>
      <c r="G86" s="404"/>
      <c r="H86" s="404"/>
      <c r="I86" s="404"/>
      <c r="J86" s="404"/>
      <c r="K86" s="404">
        <v>3096301.35</v>
      </c>
      <c r="L86" s="404"/>
      <c r="M86" s="404">
        <f>+Tabla14[[#This Row],[Escenario 5: Monto ajustado aprobado por la CGR]]+Tabla14[[#This Row],[Modificación 01-2021]]+Tabla14[[#This Row],[MN01-2021]]+Tabla14[[#This Row],[MN02-2022]]+Tabla14[[#This Row],[Modificación 02-2021]]+Tabla14[[#This Row],[Modificación 03-2021]]+Tabla14[[#This Row],[PE-01-2021]]+Tabla14[[#This Row],[MN03-20221]]</f>
        <v>3096301.35</v>
      </c>
      <c r="N86" s="404"/>
      <c r="O86" s="404"/>
      <c r="P86" s="404"/>
      <c r="Q86" s="404">
        <f>+Tabla14[[#This Row],[Presupuesto total]]-Tabla14[[#This Row],[Resevas]]-Tabla14[[#This Row],[Compromisos ]]-Tabla14[[#This Row],[Ejecutado]]</f>
        <v>3096301.35</v>
      </c>
      <c r="R86" s="405" t="s">
        <v>71</v>
      </c>
      <c r="S86" s="405" t="s">
        <v>842</v>
      </c>
      <c r="T86" s="405" t="s">
        <v>906</v>
      </c>
      <c r="U86" s="406" t="s">
        <v>1025</v>
      </c>
      <c r="V86" s="407"/>
      <c r="W86" s="406" t="s">
        <v>907</v>
      </c>
      <c r="X86" s="406"/>
      <c r="Y86" s="407" t="s">
        <v>1026</v>
      </c>
      <c r="Z86" s="406"/>
    </row>
    <row r="87" spans="2:26" ht="54" x14ac:dyDescent="0.25">
      <c r="B87" s="407" t="s">
        <v>1015</v>
      </c>
      <c r="C87" s="412" t="s">
        <v>1023</v>
      </c>
      <c r="D87" s="407" t="s">
        <v>1024</v>
      </c>
      <c r="E87" s="404"/>
      <c r="F87" s="404"/>
      <c r="G87" s="404"/>
      <c r="H87" s="404"/>
      <c r="I87" s="404"/>
      <c r="J87" s="404"/>
      <c r="K87" s="404">
        <v>3815320.57</v>
      </c>
      <c r="L87" s="404"/>
      <c r="M87" s="404">
        <f>+Tabla14[[#This Row],[Escenario 5: Monto ajustado aprobado por la CGR]]+Tabla14[[#This Row],[Modificación 01-2021]]+Tabla14[[#This Row],[MN01-2021]]+Tabla14[[#This Row],[MN02-2022]]+Tabla14[[#This Row],[Modificación 02-2021]]+Tabla14[[#This Row],[Modificación 03-2021]]+Tabla14[[#This Row],[PE-01-2021]]+Tabla14[[#This Row],[MN03-20221]]</f>
        <v>3815320.57</v>
      </c>
      <c r="N87" s="404">
        <v>0</v>
      </c>
      <c r="O87" s="404">
        <v>0</v>
      </c>
      <c r="P87" s="404">
        <v>0</v>
      </c>
      <c r="Q87" s="404">
        <f>+Tabla14[[#This Row],[Presupuesto total]]-Tabla14[[#This Row],[Resevas]]-Tabla14[[#This Row],[Compromisos ]]-Tabla14[[#This Row],[Ejecutado]]</f>
        <v>3815320.57</v>
      </c>
      <c r="R87" s="405" t="s">
        <v>18</v>
      </c>
      <c r="S87" s="405" t="s">
        <v>842</v>
      </c>
      <c r="T87" s="405" t="s">
        <v>906</v>
      </c>
      <c r="U87" s="406" t="s">
        <v>1027</v>
      </c>
      <c r="V87" s="407"/>
      <c r="W87" s="406" t="s">
        <v>907</v>
      </c>
      <c r="X87" s="406"/>
      <c r="Y87" s="407" t="s">
        <v>1026</v>
      </c>
      <c r="Z87" s="406"/>
    </row>
    <row r="88" spans="2:26" ht="54" x14ac:dyDescent="0.25">
      <c r="B88" s="407" t="s">
        <v>1015</v>
      </c>
      <c r="C88" s="412" t="s">
        <v>1023</v>
      </c>
      <c r="D88" s="407" t="s">
        <v>1024</v>
      </c>
      <c r="E88" s="404"/>
      <c r="F88" s="404"/>
      <c r="G88" s="404"/>
      <c r="H88" s="404"/>
      <c r="I88" s="404"/>
      <c r="J88" s="404"/>
      <c r="K88" s="404">
        <v>3063249.26</v>
      </c>
      <c r="L88" s="404"/>
      <c r="M88" s="404">
        <f>+Tabla14[[#This Row],[Escenario 5: Monto ajustado aprobado por la CGR]]+Tabla14[[#This Row],[Modificación 01-2021]]+Tabla14[[#This Row],[MN01-2021]]+Tabla14[[#This Row],[MN02-2022]]+Tabla14[[#This Row],[Modificación 02-2021]]+Tabla14[[#This Row],[Modificación 03-2021]]+Tabla14[[#This Row],[PE-01-2021]]+Tabla14[[#This Row],[MN03-20221]]</f>
        <v>3063249.26</v>
      </c>
      <c r="N88" s="404"/>
      <c r="O88" s="404"/>
      <c r="P88" s="404"/>
      <c r="Q88" s="404">
        <f>+Tabla14[[#This Row],[Presupuesto total]]-Tabla14[[#This Row],[Resevas]]-Tabla14[[#This Row],[Compromisos ]]-Tabla14[[#This Row],[Ejecutado]]</f>
        <v>3063249.26</v>
      </c>
      <c r="R88" s="405" t="s">
        <v>19</v>
      </c>
      <c r="S88" s="405" t="s">
        <v>842</v>
      </c>
      <c r="T88" s="405" t="s">
        <v>906</v>
      </c>
      <c r="U88" s="406" t="s">
        <v>1028</v>
      </c>
      <c r="V88" s="407"/>
      <c r="W88" s="406" t="s">
        <v>907</v>
      </c>
      <c r="X88" s="406"/>
      <c r="Y88" s="407" t="s">
        <v>1026</v>
      </c>
      <c r="Z88" s="406"/>
    </row>
    <row r="89" spans="2:26" ht="162" x14ac:dyDescent="0.25">
      <c r="B89" s="407" t="s">
        <v>1015</v>
      </c>
      <c r="C89" s="412" t="s">
        <v>1023</v>
      </c>
      <c r="D89" s="407" t="s">
        <v>1024</v>
      </c>
      <c r="E89" s="404">
        <f>8675000+1900000+2300000</f>
        <v>12875000</v>
      </c>
      <c r="F89" s="404"/>
      <c r="G89" s="404">
        <v>10439698.82</v>
      </c>
      <c r="H89" s="404"/>
      <c r="I89" s="404"/>
      <c r="J89" s="404"/>
      <c r="K89" s="404"/>
      <c r="L89" s="404"/>
      <c r="M89" s="404">
        <f>+Tabla14[[#This Row],[Escenario 5: Monto ajustado aprobado por la CGR]]+Tabla14[[#This Row],[Modificación 01-2021]]+Tabla14[[#This Row],[MN01-2021]]+Tabla14[[#This Row],[MN02-2022]]+Tabla14[[#This Row],[Modificación 02-2021]]+Tabla14[[#This Row],[Modificación 03-2021]]+Tabla14[[#This Row],[PE-01-2021]]+Tabla14[[#This Row],[MN03-20221]]</f>
        <v>23314698.82</v>
      </c>
      <c r="N89" s="404">
        <v>0</v>
      </c>
      <c r="O89" s="404">
        <v>0</v>
      </c>
      <c r="P89" s="404">
        <v>709187.28</v>
      </c>
      <c r="Q89" s="404">
        <f>+Tabla14[[#This Row],[Presupuesto total]]-Tabla14[[#This Row],[Resevas]]-Tabla14[[#This Row],[Compromisos ]]-Tabla14[[#This Row],[Ejecutado]]</f>
        <v>22605511.539999999</v>
      </c>
      <c r="R89" s="409" t="s">
        <v>15</v>
      </c>
      <c r="S89" s="405" t="s">
        <v>842</v>
      </c>
      <c r="T89" s="405" t="s">
        <v>906</v>
      </c>
      <c r="U89" s="406" t="s">
        <v>907</v>
      </c>
      <c r="V89" s="406" t="s">
        <v>908</v>
      </c>
      <c r="W89" s="406" t="s">
        <v>907</v>
      </c>
      <c r="X89" s="406" t="s">
        <v>909</v>
      </c>
      <c r="Y89" s="407" t="s">
        <v>1029</v>
      </c>
      <c r="Z89" s="407"/>
    </row>
    <row r="90" spans="2:26" ht="40.5" x14ac:dyDescent="0.25">
      <c r="B90" s="407" t="s">
        <v>1015</v>
      </c>
      <c r="C90" s="408" t="s">
        <v>1023</v>
      </c>
      <c r="D90" s="407" t="s">
        <v>1024</v>
      </c>
      <c r="E90" s="404">
        <v>10439698.82</v>
      </c>
      <c r="F90" s="404"/>
      <c r="G90" s="404">
        <v>-10439698.82</v>
      </c>
      <c r="H90" s="404"/>
      <c r="I90" s="404"/>
      <c r="J90" s="404"/>
      <c r="K90" s="404"/>
      <c r="L90" s="404"/>
      <c r="M90" s="404">
        <f>+Tabla14[[#This Row],[Escenario 5: Monto ajustado aprobado por la CGR]]+Tabla14[[#This Row],[Modificación 01-2021]]+Tabla14[[#This Row],[MN01-2021]]+Tabla14[[#This Row],[MN02-2022]]+Tabla14[[#This Row],[Modificación 02-2021]]+Tabla14[[#This Row],[Modificación 03-2021]]+Tabla14[[#This Row],[PE-01-2021]]+Tabla14[[#This Row],[MN03-20221]]</f>
        <v>0</v>
      </c>
      <c r="N90" s="404"/>
      <c r="O90" s="404"/>
      <c r="P90" s="404">
        <v>0</v>
      </c>
      <c r="Q90" s="404">
        <f>+Tabla14[[#This Row],[Presupuesto total]]-Tabla14[[#This Row],[Resevas]]-Tabla14[[#This Row],[Compromisos ]]-Tabla14[[#This Row],[Ejecutado]]</f>
        <v>0</v>
      </c>
      <c r="R90" s="409" t="s">
        <v>15</v>
      </c>
      <c r="S90" s="405" t="s">
        <v>842</v>
      </c>
      <c r="T90" s="405"/>
      <c r="U90" s="406" t="s">
        <v>844</v>
      </c>
      <c r="V90" s="406" t="s">
        <v>1030</v>
      </c>
      <c r="W90" s="406" t="s">
        <v>846</v>
      </c>
      <c r="X90" s="406" t="s">
        <v>1031</v>
      </c>
      <c r="Y90" s="407" t="s">
        <v>1032</v>
      </c>
      <c r="Z90" s="407"/>
    </row>
    <row r="91" spans="2:26" ht="54" x14ac:dyDescent="0.25">
      <c r="B91" s="406" t="s">
        <v>1033</v>
      </c>
      <c r="C91" s="412" t="s">
        <v>1034</v>
      </c>
      <c r="D91" s="403" t="s">
        <v>1035</v>
      </c>
      <c r="E91" s="404"/>
      <c r="F91" s="404"/>
      <c r="G91" s="404"/>
      <c r="H91" s="404"/>
      <c r="I91" s="404"/>
      <c r="J91" s="404"/>
      <c r="K91" s="404">
        <v>5530161.1299999999</v>
      </c>
      <c r="L91" s="404"/>
      <c r="M91" s="404">
        <f>+Tabla14[[#This Row],[Escenario 5: Monto ajustado aprobado por la CGR]]+Tabla14[[#This Row],[Modificación 01-2021]]+Tabla14[[#This Row],[MN01-2021]]+Tabla14[[#This Row],[MN02-2022]]+Tabla14[[#This Row],[Modificación 02-2021]]+Tabla14[[#This Row],[Modificación 03-2021]]+Tabla14[[#This Row],[PE-01-2021]]+Tabla14[[#This Row],[MN03-20221]]</f>
        <v>5530161.1299999999</v>
      </c>
      <c r="N91" s="404">
        <v>0</v>
      </c>
      <c r="O91" s="404">
        <v>0</v>
      </c>
      <c r="P91" s="404">
        <v>5530161.1299999999</v>
      </c>
      <c r="Q91" s="404">
        <f>+Tabla14[[#This Row],[Presupuesto total]]-Tabla14[[#This Row],[Resevas]]-Tabla14[[#This Row],[Compromisos ]]-Tabla14[[#This Row],[Ejecutado]]</f>
        <v>0</v>
      </c>
      <c r="R91" s="405" t="s">
        <v>18</v>
      </c>
      <c r="S91" s="405" t="s">
        <v>842</v>
      </c>
      <c r="T91" s="405" t="s">
        <v>930</v>
      </c>
      <c r="U91" s="406" t="s">
        <v>1036</v>
      </c>
      <c r="V91" s="407"/>
      <c r="W91" s="406" t="s">
        <v>933</v>
      </c>
      <c r="X91" s="406"/>
      <c r="Y91" s="407" t="s">
        <v>1037</v>
      </c>
      <c r="Z91" s="407"/>
    </row>
    <row r="92" spans="2:26" ht="54" x14ac:dyDescent="0.25">
      <c r="B92" s="406" t="s">
        <v>1033</v>
      </c>
      <c r="C92" s="412" t="s">
        <v>1034</v>
      </c>
      <c r="D92" s="407" t="s">
        <v>1038</v>
      </c>
      <c r="E92" s="404">
        <v>1892460.24</v>
      </c>
      <c r="F92" s="404"/>
      <c r="G92" s="404"/>
      <c r="H92" s="404"/>
      <c r="I92" s="404">
        <v>-1726551.94</v>
      </c>
      <c r="J92" s="404"/>
      <c r="K92" s="404"/>
      <c r="L92" s="404"/>
      <c r="M92" s="404">
        <f>+Tabla14[[#This Row],[Escenario 5: Monto ajustado aprobado por la CGR]]+Tabla14[[#This Row],[Modificación 01-2021]]+Tabla14[[#This Row],[MN01-2021]]+Tabla14[[#This Row],[MN02-2022]]+Tabla14[[#This Row],[Modificación 02-2021]]+Tabla14[[#This Row],[Modificación 03-2021]]+Tabla14[[#This Row],[PE-01-2021]]+Tabla14[[#This Row],[MN03-20221]]</f>
        <v>165908.30000000005</v>
      </c>
      <c r="N92" s="404">
        <v>0</v>
      </c>
      <c r="O92" s="404">
        <v>0</v>
      </c>
      <c r="P92" s="404">
        <v>165908.29999999999</v>
      </c>
      <c r="Q92" s="404">
        <f>+Tabla14[[#This Row],[Presupuesto total]]-Tabla14[[#This Row],[Resevas]]-Tabla14[[#This Row],[Compromisos ]]-Tabla14[[#This Row],[Ejecutado]]</f>
        <v>0</v>
      </c>
      <c r="R92" s="409" t="s">
        <v>15</v>
      </c>
      <c r="S92" s="405" t="s">
        <v>842</v>
      </c>
      <c r="T92" s="405" t="s">
        <v>930</v>
      </c>
      <c r="U92" s="406" t="s">
        <v>931</v>
      </c>
      <c r="V92" s="406" t="s">
        <v>932</v>
      </c>
      <c r="W92" s="406" t="s">
        <v>933</v>
      </c>
      <c r="X92" s="406" t="s">
        <v>934</v>
      </c>
      <c r="Y92" s="406" t="s">
        <v>1039</v>
      </c>
      <c r="Z92" s="406"/>
    </row>
    <row r="93" spans="2:26" ht="60.75" customHeight="1" x14ac:dyDescent="0.25">
      <c r="B93" s="401" t="s">
        <v>1033</v>
      </c>
      <c r="C93" s="412" t="s">
        <v>1034</v>
      </c>
      <c r="D93" s="403" t="s">
        <v>1040</v>
      </c>
      <c r="E93" s="413">
        <v>317258004.00999999</v>
      </c>
      <c r="F93" s="413"/>
      <c r="G93" s="413"/>
      <c r="H93" s="413"/>
      <c r="I93" s="413">
        <v>25000000</v>
      </c>
      <c r="J93" s="413"/>
      <c r="K93" s="413">
        <v>-81098367.010000005</v>
      </c>
      <c r="L93" s="413"/>
      <c r="M93" s="404">
        <f>+Tabla14[[#This Row],[Escenario 5: Monto ajustado aprobado por la CGR]]+Tabla14[[#This Row],[Modificación 01-2021]]+Tabla14[[#This Row],[MN01-2021]]+Tabla14[[#This Row],[MN02-2022]]+Tabla14[[#This Row],[Modificación 02-2021]]+Tabla14[[#This Row],[Modificación 03-2021]]+Tabla14[[#This Row],[PE-01-2021]]+Tabla14[[#This Row],[MN03-20221]]</f>
        <v>261159637</v>
      </c>
      <c r="N93" s="404">
        <v>0</v>
      </c>
      <c r="O93" s="404">
        <v>0</v>
      </c>
      <c r="P93" s="404">
        <v>261159637</v>
      </c>
      <c r="Q93" s="404">
        <f>+Tabla14[[#This Row],[Presupuesto total]]-Tabla14[[#This Row],[Resevas]]-Tabla14[[#This Row],[Compromisos ]]-Tabla14[[#This Row],[Ejecutado]]</f>
        <v>0</v>
      </c>
      <c r="R93" s="405" t="s">
        <v>16</v>
      </c>
      <c r="S93" s="405" t="s">
        <v>836</v>
      </c>
      <c r="T93" s="405" t="s">
        <v>1041</v>
      </c>
      <c r="U93" s="406" t="s">
        <v>1042</v>
      </c>
      <c r="V93" s="407" t="s">
        <v>1043</v>
      </c>
      <c r="W93" s="406" t="s">
        <v>1044</v>
      </c>
      <c r="X93" s="406" t="s">
        <v>1045</v>
      </c>
      <c r="Y93" s="407" t="s">
        <v>1046</v>
      </c>
      <c r="Z93" s="406"/>
    </row>
    <row r="94" spans="2:26" ht="60.75" customHeight="1" x14ac:dyDescent="0.25">
      <c r="B94" s="401" t="s">
        <v>1033</v>
      </c>
      <c r="C94" s="412" t="s">
        <v>1034</v>
      </c>
      <c r="D94" s="403" t="s">
        <v>1040</v>
      </c>
      <c r="E94" s="413"/>
      <c r="F94" s="404"/>
      <c r="G94" s="404"/>
      <c r="H94" s="404"/>
      <c r="I94" s="404"/>
      <c r="J94" s="404"/>
      <c r="K94" s="404">
        <v>81098367.010000005</v>
      </c>
      <c r="L94" s="404"/>
      <c r="M94" s="404">
        <f>+Tabla14[[#This Row],[Escenario 5: Monto ajustado aprobado por la CGR]]+Tabla14[[#This Row],[Modificación 01-2021]]+Tabla14[[#This Row],[MN01-2021]]+Tabla14[[#This Row],[MN02-2022]]+Tabla14[[#This Row],[Modificación 02-2021]]+Tabla14[[#This Row],[Modificación 03-2021]]+Tabla14[[#This Row],[PE-01-2021]]+Tabla14[[#This Row],[MN03-20221]]</f>
        <v>81098367.010000005</v>
      </c>
      <c r="N94" s="404">
        <v>30092907</v>
      </c>
      <c r="O94" s="404">
        <v>22107109</v>
      </c>
      <c r="P94" s="404">
        <v>6220871</v>
      </c>
      <c r="Q94" s="404">
        <f>+Tabla14[[#This Row],[Presupuesto total]]-Tabla14[[#This Row],[Resevas]]-Tabla14[[#This Row],[Compromisos ]]-Tabla14[[#This Row],[Ejecutado]]</f>
        <v>22677480.010000005</v>
      </c>
      <c r="R94" s="405" t="s">
        <v>702</v>
      </c>
      <c r="S94" s="405" t="s">
        <v>836</v>
      </c>
      <c r="T94" s="405" t="s">
        <v>1041</v>
      </c>
      <c r="U94" s="406" t="s">
        <v>1047</v>
      </c>
      <c r="V94" s="407"/>
      <c r="W94" s="406" t="s">
        <v>1044</v>
      </c>
      <c r="X94" s="406"/>
      <c r="Y94" s="407" t="s">
        <v>1048</v>
      </c>
      <c r="Z94" s="406"/>
    </row>
    <row r="95" spans="2:26" ht="54" x14ac:dyDescent="0.25">
      <c r="B95" s="401" t="s">
        <v>1033</v>
      </c>
      <c r="C95" s="412" t="s">
        <v>1034</v>
      </c>
      <c r="D95" s="403" t="s">
        <v>1040</v>
      </c>
      <c r="E95" s="413">
        <v>50000000</v>
      </c>
      <c r="F95" s="413"/>
      <c r="G95" s="413"/>
      <c r="H95" s="413"/>
      <c r="I95" s="413"/>
      <c r="J95" s="413"/>
      <c r="K95" s="413">
        <v>-50000000</v>
      </c>
      <c r="L95" s="413"/>
      <c r="M95" s="404">
        <f>+Tabla14[[#This Row],[Escenario 5: Monto ajustado aprobado por la CGR]]+Tabla14[[#This Row],[Modificación 01-2021]]+Tabla14[[#This Row],[MN01-2021]]+Tabla14[[#This Row],[MN02-2022]]+Tabla14[[#This Row],[Modificación 02-2021]]+Tabla14[[#This Row],[Modificación 03-2021]]+Tabla14[[#This Row],[PE-01-2021]]+Tabla14[[#This Row],[MN03-20221]]</f>
        <v>0</v>
      </c>
      <c r="N95" s="404">
        <v>0</v>
      </c>
      <c r="O95" s="404">
        <v>0</v>
      </c>
      <c r="P95" s="404">
        <v>0</v>
      </c>
      <c r="Q95" s="404">
        <f>+Tabla14[[#This Row],[Presupuesto total]]-Tabla14[[#This Row],[Resevas]]-Tabla14[[#This Row],[Compromisos ]]-Tabla14[[#This Row],[Ejecutado]]</f>
        <v>0</v>
      </c>
      <c r="R95" s="405" t="s">
        <v>125</v>
      </c>
      <c r="S95" s="405" t="s">
        <v>836</v>
      </c>
      <c r="T95" s="405" t="s">
        <v>1041</v>
      </c>
      <c r="U95" s="406" t="s">
        <v>1049</v>
      </c>
      <c r="V95" s="407" t="s">
        <v>1050</v>
      </c>
      <c r="W95" s="406" t="s">
        <v>1044</v>
      </c>
      <c r="X95" s="406" t="s">
        <v>1045</v>
      </c>
      <c r="Y95" s="407" t="s">
        <v>1051</v>
      </c>
      <c r="Z95" s="406"/>
    </row>
    <row r="96" spans="2:26" ht="54" x14ac:dyDescent="0.25">
      <c r="B96" s="401" t="s">
        <v>1033</v>
      </c>
      <c r="C96" s="412" t="s">
        <v>1034</v>
      </c>
      <c r="D96" s="403" t="s">
        <v>1040</v>
      </c>
      <c r="E96" s="413"/>
      <c r="F96" s="404"/>
      <c r="G96" s="404"/>
      <c r="H96" s="404"/>
      <c r="I96" s="404"/>
      <c r="J96" s="404"/>
      <c r="K96" s="404">
        <v>50867820</v>
      </c>
      <c r="L96" s="404"/>
      <c r="M96" s="404">
        <f>+Tabla14[[#This Row],[Escenario 5: Monto ajustado aprobado por la CGR]]+Tabla14[[#This Row],[Modificación 01-2021]]+Tabla14[[#This Row],[MN01-2021]]+Tabla14[[#This Row],[MN02-2022]]+Tabla14[[#This Row],[Modificación 02-2021]]+Tabla14[[#This Row],[Modificación 03-2021]]+Tabla14[[#This Row],[PE-01-2021]]+Tabla14[[#This Row],[MN03-20221]]</f>
        <v>50867820</v>
      </c>
      <c r="N96" s="404">
        <v>0</v>
      </c>
      <c r="O96" s="404">
        <v>35991956</v>
      </c>
      <c r="P96" s="404">
        <v>14875864</v>
      </c>
      <c r="Q96" s="404">
        <f>+Tabla14[[#This Row],[Presupuesto total]]-Tabla14[[#This Row],[Resevas]]-Tabla14[[#This Row],[Compromisos ]]-Tabla14[[#This Row],[Ejecutado]]</f>
        <v>0</v>
      </c>
      <c r="R96" s="405" t="s">
        <v>1052</v>
      </c>
      <c r="S96" s="405" t="s">
        <v>836</v>
      </c>
      <c r="T96" s="405" t="s">
        <v>1041</v>
      </c>
      <c r="U96" s="406" t="s">
        <v>1053</v>
      </c>
      <c r="V96" s="407"/>
      <c r="W96" s="406" t="s">
        <v>1044</v>
      </c>
      <c r="X96" s="406"/>
      <c r="Y96" s="407" t="s">
        <v>1054</v>
      </c>
      <c r="Z96" s="406"/>
    </row>
    <row r="97" spans="2:26" ht="54" x14ac:dyDescent="0.25">
      <c r="B97" s="401" t="s">
        <v>1033</v>
      </c>
      <c r="C97" s="412" t="s">
        <v>1034</v>
      </c>
      <c r="D97" s="403" t="s">
        <v>1055</v>
      </c>
      <c r="E97" s="413">
        <v>97937257.010000005</v>
      </c>
      <c r="F97" s="413"/>
      <c r="G97" s="413"/>
      <c r="H97" s="413"/>
      <c r="I97" s="413"/>
      <c r="J97" s="413"/>
      <c r="K97" s="413"/>
      <c r="L97" s="413"/>
      <c r="M97" s="404">
        <f>+Tabla14[[#This Row],[Escenario 5: Monto ajustado aprobado por la CGR]]+Tabla14[[#This Row],[Modificación 01-2021]]+Tabla14[[#This Row],[MN01-2021]]+Tabla14[[#This Row],[MN02-2022]]+Tabla14[[#This Row],[Modificación 02-2021]]+Tabla14[[#This Row],[Modificación 03-2021]]+Tabla14[[#This Row],[PE-01-2021]]+Tabla14[[#This Row],[MN03-20221]]</f>
        <v>97937257.010000005</v>
      </c>
      <c r="N97" s="404"/>
      <c r="O97" s="404"/>
      <c r="P97" s="404">
        <v>48968628.579999998</v>
      </c>
      <c r="Q97" s="404">
        <f>+Tabla14[[#This Row],[Presupuesto total]]-Tabla14[[#This Row],[Resevas]]-Tabla14[[#This Row],[Compromisos ]]-Tabla14[[#This Row],[Ejecutado]]</f>
        <v>48968628.430000007</v>
      </c>
      <c r="R97" s="405" t="s">
        <v>17</v>
      </c>
      <c r="S97" s="405" t="s">
        <v>836</v>
      </c>
      <c r="T97" s="405" t="s">
        <v>1041</v>
      </c>
      <c r="U97" s="406" t="s">
        <v>1044</v>
      </c>
      <c r="V97" s="407" t="s">
        <v>1056</v>
      </c>
      <c r="W97" s="406" t="s">
        <v>1044</v>
      </c>
      <c r="X97" s="406" t="s">
        <v>1045</v>
      </c>
      <c r="Y97" s="407" t="s">
        <v>1046</v>
      </c>
      <c r="Z97" s="406"/>
    </row>
    <row r="98" spans="2:26" ht="57" customHeight="1" x14ac:dyDescent="0.25">
      <c r="B98" s="401" t="s">
        <v>1033</v>
      </c>
      <c r="C98" s="412" t="s">
        <v>1057</v>
      </c>
      <c r="D98" s="403" t="s">
        <v>1058</v>
      </c>
      <c r="E98" s="413">
        <v>48151809</v>
      </c>
      <c r="F98" s="413"/>
      <c r="G98" s="413"/>
      <c r="H98" s="413"/>
      <c r="I98" s="413">
        <v>-25000000</v>
      </c>
      <c r="J98" s="413"/>
      <c r="K98" s="413">
        <v>-21708247</v>
      </c>
      <c r="L98" s="413"/>
      <c r="M98" s="404">
        <f>+Tabla14[[#This Row],[Escenario 5: Monto ajustado aprobado por la CGR]]+Tabla14[[#This Row],[Modificación 01-2021]]+Tabla14[[#This Row],[MN01-2021]]+Tabla14[[#This Row],[MN02-2022]]+Tabla14[[#This Row],[Modificación 02-2021]]+Tabla14[[#This Row],[Modificación 03-2021]]+Tabla14[[#This Row],[PE-01-2021]]+Tabla14[[#This Row],[MN03-20221]]</f>
        <v>1443562</v>
      </c>
      <c r="N98" s="404">
        <v>0</v>
      </c>
      <c r="O98" s="404">
        <v>0</v>
      </c>
      <c r="P98" s="404">
        <v>0</v>
      </c>
      <c r="Q98" s="404">
        <f>+Tabla14[[#This Row],[Presupuesto total]]-Tabla14[[#This Row],[Resevas]]-Tabla14[[#This Row],[Compromisos ]]-Tabla14[[#This Row],[Ejecutado]]</f>
        <v>1443562</v>
      </c>
      <c r="R98" s="405" t="s">
        <v>16</v>
      </c>
      <c r="S98" s="405" t="s">
        <v>836</v>
      </c>
      <c r="T98" s="405" t="s">
        <v>1041</v>
      </c>
      <c r="U98" s="406" t="s">
        <v>1042</v>
      </c>
      <c r="V98" s="407" t="s">
        <v>1043</v>
      </c>
      <c r="W98" s="406" t="s">
        <v>1044</v>
      </c>
      <c r="X98" s="406" t="s">
        <v>1045</v>
      </c>
      <c r="Y98" s="407" t="s">
        <v>1046</v>
      </c>
      <c r="Z98" s="406"/>
    </row>
    <row r="99" spans="2:26" ht="57" customHeight="1" x14ac:dyDescent="0.25">
      <c r="B99" s="401" t="s">
        <v>1033</v>
      </c>
      <c r="C99" s="412" t="s">
        <v>1057</v>
      </c>
      <c r="D99" s="403" t="s">
        <v>1058</v>
      </c>
      <c r="E99" s="413"/>
      <c r="F99" s="404"/>
      <c r="G99" s="404"/>
      <c r="H99" s="404"/>
      <c r="I99" s="404"/>
      <c r="J99" s="404"/>
      <c r="K99" s="404">
        <v>6850427</v>
      </c>
      <c r="L99" s="404"/>
      <c r="M99" s="404">
        <f>+Tabla14[[#This Row],[Escenario 5: Monto ajustado aprobado por la CGR]]+Tabla14[[#This Row],[Modificación 01-2021]]+Tabla14[[#This Row],[MN01-2021]]+Tabla14[[#This Row],[MN02-2022]]+Tabla14[[#This Row],[Modificación 02-2021]]+Tabla14[[#This Row],[Modificación 03-2021]]+Tabla14[[#This Row],[PE-01-2021]]+Tabla14[[#This Row],[MN03-20221]]</f>
        <v>6850427</v>
      </c>
      <c r="N99" s="404">
        <v>0</v>
      </c>
      <c r="O99" s="404">
        <v>2812240</v>
      </c>
      <c r="P99" s="404">
        <v>0</v>
      </c>
      <c r="Q99" s="404">
        <f>+Tabla14[[#This Row],[Presupuesto total]]-Tabla14[[#This Row],[Resevas]]-Tabla14[[#This Row],[Compromisos ]]-Tabla14[[#This Row],[Ejecutado]]</f>
        <v>4038187</v>
      </c>
      <c r="R99" s="405" t="s">
        <v>702</v>
      </c>
      <c r="S99" s="405" t="s">
        <v>836</v>
      </c>
      <c r="T99" s="405" t="s">
        <v>1041</v>
      </c>
      <c r="U99" s="406" t="s">
        <v>1047</v>
      </c>
      <c r="V99" s="407"/>
      <c r="W99" s="406" t="s">
        <v>1044</v>
      </c>
      <c r="X99" s="406"/>
      <c r="Y99" s="407" t="s">
        <v>1048</v>
      </c>
      <c r="Z99" s="406"/>
    </row>
    <row r="100" spans="2:26" ht="57" customHeight="1" x14ac:dyDescent="0.25">
      <c r="B100" s="401" t="s">
        <v>1033</v>
      </c>
      <c r="C100" s="412" t="s">
        <v>1057</v>
      </c>
      <c r="D100" s="403" t="s">
        <v>1059</v>
      </c>
      <c r="E100" s="413"/>
      <c r="F100" s="404"/>
      <c r="G100" s="404"/>
      <c r="H100" s="404"/>
      <c r="I100" s="404"/>
      <c r="J100" s="404"/>
      <c r="K100" s="404">
        <v>13990000</v>
      </c>
      <c r="L100" s="404"/>
      <c r="M100" s="404">
        <f>+Tabla14[[#This Row],[Escenario 5: Monto ajustado aprobado por la CGR]]+Tabla14[[#This Row],[Modificación 01-2021]]+Tabla14[[#This Row],[MN01-2021]]+Tabla14[[#This Row],[MN02-2022]]+Tabla14[[#This Row],[Modificación 02-2021]]+Tabla14[[#This Row],[Modificación 03-2021]]+Tabla14[[#This Row],[PE-01-2021]]+Tabla14[[#This Row],[MN03-20221]]</f>
        <v>13990000</v>
      </c>
      <c r="N100" s="404">
        <v>0</v>
      </c>
      <c r="O100" s="404">
        <v>0</v>
      </c>
      <c r="P100" s="404">
        <v>0</v>
      </c>
      <c r="Q100" s="404">
        <f>+Tabla14[[#This Row],[Presupuesto total]]-Tabla14[[#This Row],[Resevas]]-Tabla14[[#This Row],[Compromisos ]]-Tabla14[[#This Row],[Ejecutado]]</f>
        <v>13990000</v>
      </c>
      <c r="R100" s="405" t="s">
        <v>702</v>
      </c>
      <c r="S100" s="405" t="s">
        <v>836</v>
      </c>
      <c r="T100" s="405" t="s">
        <v>942</v>
      </c>
      <c r="U100" s="406" t="s">
        <v>1060</v>
      </c>
      <c r="V100" s="407"/>
      <c r="W100" s="406" t="s">
        <v>943</v>
      </c>
      <c r="X100" s="406"/>
      <c r="Y100" s="407" t="s">
        <v>1061</v>
      </c>
      <c r="Z100" s="406"/>
    </row>
    <row r="101" spans="2:26" ht="81" x14ac:dyDescent="0.25">
      <c r="B101" s="401" t="s">
        <v>1033</v>
      </c>
      <c r="C101" s="412" t="s">
        <v>1062</v>
      </c>
      <c r="D101" s="403" t="s">
        <v>1063</v>
      </c>
      <c r="E101" s="413">
        <v>250000</v>
      </c>
      <c r="F101" s="413"/>
      <c r="G101" s="413"/>
      <c r="H101" s="413"/>
      <c r="I101" s="413">
        <v>250000</v>
      </c>
      <c r="J101" s="413"/>
      <c r="K101" s="413"/>
      <c r="L101" s="413"/>
      <c r="M101" s="404">
        <f>+Tabla14[[#This Row],[Escenario 5: Monto ajustado aprobado por la CGR]]+Tabla14[[#This Row],[Modificación 01-2021]]+Tabla14[[#This Row],[MN01-2021]]+Tabla14[[#This Row],[MN02-2022]]+Tabla14[[#This Row],[Modificación 02-2021]]+Tabla14[[#This Row],[Modificación 03-2021]]+Tabla14[[#This Row],[PE-01-2021]]+Tabla14[[#This Row],[MN03-20221]]</f>
        <v>500000</v>
      </c>
      <c r="N101" s="404"/>
      <c r="O101" s="404"/>
      <c r="P101" s="404">
        <v>0</v>
      </c>
      <c r="Q101" s="404">
        <f>+Tabla14[[#This Row],[Presupuesto total]]-Tabla14[[#This Row],[Resevas]]-Tabla14[[#This Row],[Compromisos ]]-Tabla14[[#This Row],[Ejecutado]]</f>
        <v>500000</v>
      </c>
      <c r="R101" s="405" t="s">
        <v>15</v>
      </c>
      <c r="S101" s="405" t="s">
        <v>836</v>
      </c>
      <c r="T101" s="405" t="s">
        <v>837</v>
      </c>
      <c r="U101" s="406" t="s">
        <v>838</v>
      </c>
      <c r="V101" s="407" t="s">
        <v>839</v>
      </c>
      <c r="W101" s="406" t="s">
        <v>838</v>
      </c>
      <c r="X101" s="407" t="s">
        <v>840</v>
      </c>
      <c r="Y101" s="403" t="s">
        <v>1064</v>
      </c>
      <c r="Z101" s="403"/>
    </row>
    <row r="102" spans="2:26" ht="81" x14ac:dyDescent="0.25">
      <c r="B102" s="401" t="s">
        <v>1033</v>
      </c>
      <c r="C102" s="408" t="s">
        <v>1062</v>
      </c>
      <c r="D102" s="403" t="s">
        <v>1063</v>
      </c>
      <c r="E102" s="413">
        <v>250000</v>
      </c>
      <c r="F102" s="413"/>
      <c r="G102" s="413"/>
      <c r="H102" s="413"/>
      <c r="I102" s="413">
        <v>250000</v>
      </c>
      <c r="J102" s="413"/>
      <c r="K102" s="413"/>
      <c r="L102" s="413"/>
      <c r="M102" s="404">
        <f>+Tabla14[[#This Row],[Escenario 5: Monto ajustado aprobado por la CGR]]+Tabla14[[#This Row],[Modificación 01-2021]]+Tabla14[[#This Row],[MN01-2021]]+Tabla14[[#This Row],[MN02-2022]]+Tabla14[[#This Row],[Modificación 02-2021]]+Tabla14[[#This Row],[Modificación 03-2021]]+Tabla14[[#This Row],[PE-01-2021]]+Tabla14[[#This Row],[MN03-20221]]</f>
        <v>500000</v>
      </c>
      <c r="N102" s="404"/>
      <c r="O102" s="404"/>
      <c r="P102" s="404">
        <v>0</v>
      </c>
      <c r="Q102" s="404">
        <f>+Tabla14[[#This Row],[Presupuesto total]]-Tabla14[[#This Row],[Resevas]]-Tabla14[[#This Row],[Compromisos ]]-Tabla14[[#This Row],[Ejecutado]]</f>
        <v>500000</v>
      </c>
      <c r="R102" s="405" t="s">
        <v>15</v>
      </c>
      <c r="S102" s="405" t="s">
        <v>842</v>
      </c>
      <c r="T102" s="405" t="s">
        <v>843</v>
      </c>
      <c r="U102" s="406" t="s">
        <v>844</v>
      </c>
      <c r="V102" s="407" t="s">
        <v>845</v>
      </c>
      <c r="W102" s="406" t="s">
        <v>846</v>
      </c>
      <c r="X102" s="407" t="s">
        <v>847</v>
      </c>
      <c r="Y102" s="403" t="s">
        <v>1065</v>
      </c>
      <c r="Z102" s="403"/>
    </row>
    <row r="103" spans="2:26" ht="54" x14ac:dyDescent="0.25">
      <c r="B103" s="401" t="s">
        <v>1033</v>
      </c>
      <c r="C103" s="408" t="s">
        <v>1062</v>
      </c>
      <c r="D103" s="403" t="s">
        <v>189</v>
      </c>
      <c r="E103" s="404">
        <v>4000000</v>
      </c>
      <c r="F103" s="404"/>
      <c r="G103" s="404"/>
      <c r="H103" s="404"/>
      <c r="I103" s="404"/>
      <c r="J103" s="404"/>
      <c r="K103" s="404"/>
      <c r="L103" s="404"/>
      <c r="M103" s="404">
        <f>+Tabla14[[#This Row],[Escenario 5: Monto ajustado aprobado por la CGR]]+Tabla14[[#This Row],[Modificación 01-2021]]+Tabla14[[#This Row],[MN01-2021]]+Tabla14[[#This Row],[MN02-2022]]+Tabla14[[#This Row],[Modificación 02-2021]]+Tabla14[[#This Row],[Modificación 03-2021]]+Tabla14[[#This Row],[PE-01-2021]]+Tabla14[[#This Row],[MN03-20221]]</f>
        <v>4000000</v>
      </c>
      <c r="N103" s="404"/>
      <c r="O103" s="404"/>
      <c r="P103" s="404">
        <v>235131.4</v>
      </c>
      <c r="Q103" s="404">
        <f>+Tabla14[[#This Row],[Presupuesto total]]-Tabla14[[#This Row],[Resevas]]-Tabla14[[#This Row],[Compromisos ]]-Tabla14[[#This Row],[Ejecutado]]</f>
        <v>3764868.6</v>
      </c>
      <c r="R103" s="405" t="s">
        <v>15</v>
      </c>
      <c r="S103" s="405" t="s">
        <v>836</v>
      </c>
      <c r="T103" s="405" t="s">
        <v>837</v>
      </c>
      <c r="U103" s="406" t="s">
        <v>838</v>
      </c>
      <c r="V103" s="407" t="s">
        <v>839</v>
      </c>
      <c r="W103" s="406" t="s">
        <v>838</v>
      </c>
      <c r="X103" s="407" t="s">
        <v>840</v>
      </c>
      <c r="Y103" s="411" t="s">
        <v>1066</v>
      </c>
      <c r="Z103" s="411"/>
    </row>
    <row r="104" spans="2:26" ht="40.5" x14ac:dyDescent="0.25">
      <c r="B104" s="401" t="s">
        <v>1033</v>
      </c>
      <c r="C104" s="408" t="s">
        <v>1062</v>
      </c>
      <c r="D104" s="403" t="s">
        <v>189</v>
      </c>
      <c r="E104" s="404">
        <v>4000000</v>
      </c>
      <c r="F104" s="404"/>
      <c r="G104" s="404"/>
      <c r="H104" s="404"/>
      <c r="I104" s="404"/>
      <c r="J104" s="404"/>
      <c r="K104" s="404"/>
      <c r="L104" s="404"/>
      <c r="M104" s="404">
        <f>+Tabla14[[#This Row],[Escenario 5: Monto ajustado aprobado por la CGR]]+Tabla14[[#This Row],[Modificación 01-2021]]+Tabla14[[#This Row],[MN01-2021]]+Tabla14[[#This Row],[MN02-2022]]+Tabla14[[#This Row],[Modificación 02-2021]]+Tabla14[[#This Row],[Modificación 03-2021]]+Tabla14[[#This Row],[PE-01-2021]]+Tabla14[[#This Row],[MN03-20221]]</f>
        <v>4000000</v>
      </c>
      <c r="N104" s="404"/>
      <c r="O104" s="404"/>
      <c r="P104" s="404">
        <v>2826211.48</v>
      </c>
      <c r="Q104" s="404">
        <f>+Tabla14[[#This Row],[Presupuesto total]]-Tabla14[[#This Row],[Resevas]]-Tabla14[[#This Row],[Compromisos ]]-Tabla14[[#This Row],[Ejecutado]]</f>
        <v>1173788.52</v>
      </c>
      <c r="R104" s="405" t="s">
        <v>15</v>
      </c>
      <c r="S104" s="405" t="s">
        <v>842</v>
      </c>
      <c r="T104" s="405" t="s">
        <v>843</v>
      </c>
      <c r="U104" s="406" t="s">
        <v>844</v>
      </c>
      <c r="V104" s="407" t="s">
        <v>845</v>
      </c>
      <c r="W104" s="406" t="s">
        <v>846</v>
      </c>
      <c r="X104" s="407" t="s">
        <v>847</v>
      </c>
      <c r="Y104" s="411" t="s">
        <v>1067</v>
      </c>
      <c r="Z104" s="411"/>
    </row>
    <row r="105" spans="2:26" ht="69.75" customHeight="1" x14ac:dyDescent="0.25">
      <c r="B105" s="401" t="s">
        <v>1033</v>
      </c>
      <c r="C105" s="412" t="s">
        <v>1068</v>
      </c>
      <c r="D105" s="403" t="s">
        <v>1069</v>
      </c>
      <c r="E105" s="413">
        <v>53774445</v>
      </c>
      <c r="F105" s="413"/>
      <c r="G105" s="413"/>
      <c r="H105" s="413"/>
      <c r="I105" s="413"/>
      <c r="J105" s="413"/>
      <c r="K105" s="413">
        <v>-53774445</v>
      </c>
      <c r="L105" s="413"/>
      <c r="M105" s="404">
        <f>+Tabla14[[#This Row],[Escenario 5: Monto ajustado aprobado por la CGR]]+Tabla14[[#This Row],[Modificación 01-2021]]+Tabla14[[#This Row],[MN01-2021]]+Tabla14[[#This Row],[MN02-2022]]+Tabla14[[#This Row],[Modificación 02-2021]]+Tabla14[[#This Row],[Modificación 03-2021]]+Tabla14[[#This Row],[PE-01-2021]]+Tabla14[[#This Row],[MN03-20221]]</f>
        <v>0</v>
      </c>
      <c r="N105" s="404">
        <v>0</v>
      </c>
      <c r="O105" s="404">
        <v>0</v>
      </c>
      <c r="P105" s="404"/>
      <c r="Q105" s="404">
        <f>+Tabla14[[#This Row],[Presupuesto total]]-Tabla14[[#This Row],[Resevas]]-Tabla14[[#This Row],[Compromisos ]]-Tabla14[[#This Row],[Ejecutado]]</f>
        <v>0</v>
      </c>
      <c r="R105" s="405" t="s">
        <v>16</v>
      </c>
      <c r="S105" s="405" t="s">
        <v>836</v>
      </c>
      <c r="T105" s="405" t="s">
        <v>1041</v>
      </c>
      <c r="U105" s="406" t="s">
        <v>1042</v>
      </c>
      <c r="V105" s="407" t="s">
        <v>1043</v>
      </c>
      <c r="W105" s="406" t="s">
        <v>1044</v>
      </c>
      <c r="X105" s="406" t="s">
        <v>1045</v>
      </c>
      <c r="Y105" s="407" t="s">
        <v>1070</v>
      </c>
      <c r="Z105" s="406"/>
    </row>
    <row r="106" spans="2:26" ht="70.5" customHeight="1" x14ac:dyDescent="0.25">
      <c r="B106" s="401" t="s">
        <v>1033</v>
      </c>
      <c r="C106" s="412" t="s">
        <v>1068</v>
      </c>
      <c r="D106" s="403" t="s">
        <v>1069</v>
      </c>
      <c r="E106" s="413"/>
      <c r="F106" s="404"/>
      <c r="G106" s="404"/>
      <c r="H106" s="404"/>
      <c r="I106" s="404"/>
      <c r="J106" s="404"/>
      <c r="K106" s="404">
        <v>53774445</v>
      </c>
      <c r="L106" s="404"/>
      <c r="M106" s="404">
        <f>+Tabla14[[#This Row],[Escenario 5: Monto ajustado aprobado por la CGR]]+Tabla14[[#This Row],[Modificación 01-2021]]+Tabla14[[#This Row],[MN01-2021]]+Tabla14[[#This Row],[MN02-2022]]+Tabla14[[#This Row],[Modificación 02-2021]]+Tabla14[[#This Row],[Modificación 03-2021]]+Tabla14[[#This Row],[PE-01-2021]]+Tabla14[[#This Row],[MN03-20221]]</f>
        <v>53774445</v>
      </c>
      <c r="N106" s="404">
        <v>1801523</v>
      </c>
      <c r="O106" s="404"/>
      <c r="P106" s="404">
        <v>22977467</v>
      </c>
      <c r="Q106" s="404">
        <f>+Tabla14[[#This Row],[Presupuesto total]]-Tabla14[[#This Row],[Resevas]]-Tabla14[[#This Row],[Compromisos ]]-Tabla14[[#This Row],[Ejecutado]]</f>
        <v>28995455</v>
      </c>
      <c r="R106" s="405" t="s">
        <v>702</v>
      </c>
      <c r="S106" s="405" t="s">
        <v>836</v>
      </c>
      <c r="T106" s="405" t="s">
        <v>1041</v>
      </c>
      <c r="U106" s="406" t="s">
        <v>1047</v>
      </c>
      <c r="V106" s="407"/>
      <c r="W106" s="406" t="s">
        <v>1044</v>
      </c>
      <c r="X106" s="406"/>
      <c r="Y106" s="407" t="s">
        <v>1071</v>
      </c>
      <c r="Z106" s="406"/>
    </row>
    <row r="107" spans="2:26" ht="51" customHeight="1" x14ac:dyDescent="0.25">
      <c r="B107" s="401" t="s">
        <v>1033</v>
      </c>
      <c r="C107" s="412" t="s">
        <v>1072</v>
      </c>
      <c r="D107" s="403" t="s">
        <v>1073</v>
      </c>
      <c r="E107" s="413">
        <v>11187581</v>
      </c>
      <c r="F107" s="413"/>
      <c r="G107" s="413"/>
      <c r="H107" s="413"/>
      <c r="I107" s="413"/>
      <c r="J107" s="413"/>
      <c r="K107" s="413">
        <v>-11187581</v>
      </c>
      <c r="L107" s="413"/>
      <c r="M107" s="404">
        <f>+Tabla14[[#This Row],[Escenario 5: Monto ajustado aprobado por la CGR]]+Tabla14[[#This Row],[Modificación 01-2021]]+Tabla14[[#This Row],[MN01-2021]]+Tabla14[[#This Row],[MN02-2022]]+Tabla14[[#This Row],[Modificación 02-2021]]+Tabla14[[#This Row],[Modificación 03-2021]]+Tabla14[[#This Row],[PE-01-2021]]+Tabla14[[#This Row],[MN03-20221]]</f>
        <v>0</v>
      </c>
      <c r="N107" s="404">
        <v>0</v>
      </c>
      <c r="O107" s="404">
        <v>0</v>
      </c>
      <c r="P107" s="404"/>
      <c r="Q107" s="404">
        <f>+Tabla14[[#This Row],[Presupuesto total]]-Tabla14[[#This Row],[Resevas]]-Tabla14[[#This Row],[Compromisos ]]-Tabla14[[#This Row],[Ejecutado]]</f>
        <v>0</v>
      </c>
      <c r="R107" s="405" t="s">
        <v>16</v>
      </c>
      <c r="S107" s="405" t="s">
        <v>836</v>
      </c>
      <c r="T107" s="405" t="s">
        <v>1041</v>
      </c>
      <c r="U107" s="406" t="s">
        <v>1042</v>
      </c>
      <c r="V107" s="407" t="s">
        <v>1043</v>
      </c>
      <c r="W107" s="406" t="s">
        <v>1044</v>
      </c>
      <c r="X107" s="406" t="s">
        <v>1045</v>
      </c>
      <c r="Y107" s="407" t="s">
        <v>1046</v>
      </c>
      <c r="Z107" s="406"/>
    </row>
    <row r="108" spans="2:26" ht="51" customHeight="1" x14ac:dyDescent="0.25">
      <c r="B108" s="401" t="s">
        <v>1033</v>
      </c>
      <c r="C108" s="412" t="s">
        <v>1072</v>
      </c>
      <c r="D108" s="403" t="s">
        <v>1073</v>
      </c>
      <c r="E108" s="413"/>
      <c r="F108" s="404"/>
      <c r="G108" s="404"/>
      <c r="H108" s="404"/>
      <c r="I108" s="404"/>
      <c r="J108" s="404"/>
      <c r="K108" s="404">
        <v>11187581</v>
      </c>
      <c r="L108" s="404"/>
      <c r="M108" s="404">
        <f>+Tabla14[[#This Row],[Escenario 5: Monto ajustado aprobado por la CGR]]+Tabla14[[#This Row],[Modificación 01-2021]]+Tabla14[[#This Row],[MN01-2021]]+Tabla14[[#This Row],[MN02-2022]]+Tabla14[[#This Row],[Modificación 02-2021]]+Tabla14[[#This Row],[Modificación 03-2021]]+Tabla14[[#This Row],[PE-01-2021]]+Tabla14[[#This Row],[MN03-20221]]</f>
        <v>11187581</v>
      </c>
      <c r="N108" s="404"/>
      <c r="O108" s="404">
        <v>11187581</v>
      </c>
      <c r="P108" s="404"/>
      <c r="Q108" s="404">
        <f>+Tabla14[[#This Row],[Presupuesto total]]-Tabla14[[#This Row],[Resevas]]-Tabla14[[#This Row],[Compromisos ]]-Tabla14[[#This Row],[Ejecutado]]</f>
        <v>0</v>
      </c>
      <c r="R108" s="405" t="s">
        <v>702</v>
      </c>
      <c r="S108" s="405" t="s">
        <v>836</v>
      </c>
      <c r="T108" s="405" t="s">
        <v>1041</v>
      </c>
      <c r="U108" s="406" t="s">
        <v>1047</v>
      </c>
      <c r="V108" s="407"/>
      <c r="W108" s="406" t="s">
        <v>1044</v>
      </c>
      <c r="X108" s="406"/>
      <c r="Y108" s="407" t="s">
        <v>1048</v>
      </c>
      <c r="Z108" s="406"/>
    </row>
    <row r="109" spans="2:26" ht="27" x14ac:dyDescent="0.25">
      <c r="B109" s="406" t="s">
        <v>1033</v>
      </c>
      <c r="C109" s="408" t="s">
        <v>1074</v>
      </c>
      <c r="D109" s="407" t="s">
        <v>1075</v>
      </c>
      <c r="E109" s="404">
        <v>2500000</v>
      </c>
      <c r="F109" s="404"/>
      <c r="G109" s="404"/>
      <c r="H109" s="404"/>
      <c r="I109" s="404"/>
      <c r="J109" s="404"/>
      <c r="K109" s="404"/>
      <c r="L109" s="404"/>
      <c r="M109" s="404">
        <f>+Tabla14[[#This Row],[Escenario 5: Monto ajustado aprobado por la CGR]]+Tabla14[[#This Row],[Modificación 01-2021]]+Tabla14[[#This Row],[MN01-2021]]+Tabla14[[#This Row],[MN02-2022]]+Tabla14[[#This Row],[Modificación 02-2021]]+Tabla14[[#This Row],[Modificación 03-2021]]+Tabla14[[#This Row],[PE-01-2021]]+Tabla14[[#This Row],[MN03-20221]]</f>
        <v>2500000</v>
      </c>
      <c r="N109" s="404">
        <v>0</v>
      </c>
      <c r="O109" s="404">
        <v>0</v>
      </c>
      <c r="P109" s="404">
        <v>0</v>
      </c>
      <c r="Q109" s="404">
        <f>+Tabla14[[#This Row],[Presupuesto total]]-Tabla14[[#This Row],[Resevas]]-Tabla14[[#This Row],[Compromisos ]]-Tabla14[[#This Row],[Ejecutado]]</f>
        <v>2500000</v>
      </c>
      <c r="R109" s="409" t="s">
        <v>15</v>
      </c>
      <c r="S109" s="405" t="s">
        <v>842</v>
      </c>
      <c r="T109" s="405" t="s">
        <v>988</v>
      </c>
      <c r="U109" s="410" t="s">
        <v>989</v>
      </c>
      <c r="V109" s="406" t="s">
        <v>990</v>
      </c>
      <c r="W109" s="406" t="s">
        <v>991</v>
      </c>
      <c r="X109" s="406" t="s">
        <v>992</v>
      </c>
      <c r="Y109" s="407" t="s">
        <v>1076</v>
      </c>
      <c r="Z109" s="407" t="s">
        <v>1077</v>
      </c>
    </row>
    <row r="110" spans="2:26" ht="54" x14ac:dyDescent="0.25">
      <c r="B110" s="406" t="s">
        <v>1033</v>
      </c>
      <c r="C110" s="408" t="s">
        <v>1078</v>
      </c>
      <c r="D110" s="407" t="s">
        <v>1079</v>
      </c>
      <c r="E110" s="404">
        <v>5733333.3300000001</v>
      </c>
      <c r="F110" s="404"/>
      <c r="G110" s="404"/>
      <c r="H110" s="404"/>
      <c r="I110" s="404">
        <v>4067000</v>
      </c>
      <c r="J110" s="404"/>
      <c r="K110" s="404"/>
      <c r="L110" s="404"/>
      <c r="M110" s="404">
        <f>+Tabla14[[#This Row],[Escenario 5: Monto ajustado aprobado por la CGR]]+Tabla14[[#This Row],[Modificación 01-2021]]+Tabla14[[#This Row],[MN01-2021]]+Tabla14[[#This Row],[MN02-2022]]+Tabla14[[#This Row],[Modificación 02-2021]]+Tabla14[[#This Row],[Modificación 03-2021]]+Tabla14[[#This Row],[PE-01-2021]]+Tabla14[[#This Row],[MN03-20221]]</f>
        <v>9800333.3300000001</v>
      </c>
      <c r="N110" s="404">
        <v>0</v>
      </c>
      <c r="O110" s="404">
        <v>0</v>
      </c>
      <c r="P110" s="404">
        <v>9800000</v>
      </c>
      <c r="Q110" s="404">
        <f>+Tabla14[[#This Row],[Presupuesto total]]-Tabla14[[#This Row],[Resevas]]-Tabla14[[#This Row],[Compromisos ]]-Tabla14[[#This Row],[Ejecutado]]</f>
        <v>333.33000000007451</v>
      </c>
      <c r="R110" s="409" t="s">
        <v>15</v>
      </c>
      <c r="S110" s="405" t="s">
        <v>842</v>
      </c>
      <c r="T110" s="405" t="s">
        <v>930</v>
      </c>
      <c r="U110" s="406" t="s">
        <v>931</v>
      </c>
      <c r="V110" s="406" t="s">
        <v>932</v>
      </c>
      <c r="W110" s="406" t="s">
        <v>933</v>
      </c>
      <c r="X110" s="406" t="s">
        <v>934</v>
      </c>
      <c r="Y110" s="407" t="s">
        <v>1080</v>
      </c>
      <c r="Z110" s="406"/>
    </row>
    <row r="111" spans="2:26" ht="40.5" x14ac:dyDescent="0.25">
      <c r="B111" s="406" t="s">
        <v>1033</v>
      </c>
      <c r="C111" s="408" t="s">
        <v>1078</v>
      </c>
      <c r="D111" s="407" t="s">
        <v>1079</v>
      </c>
      <c r="E111" s="404"/>
      <c r="F111" s="404"/>
      <c r="G111" s="404"/>
      <c r="H111" s="404"/>
      <c r="I111" s="404"/>
      <c r="J111" s="404">
        <v>187500</v>
      </c>
      <c r="K111" s="404"/>
      <c r="L111" s="404"/>
      <c r="M111" s="404">
        <f>+Tabla14[[#This Row],[Escenario 5: Monto ajustado aprobado por la CGR]]+Tabla14[[#This Row],[Modificación 01-2021]]+Tabla14[[#This Row],[MN01-2021]]+Tabla14[[#This Row],[MN02-2022]]+Tabla14[[#This Row],[Modificación 02-2021]]+Tabla14[[#This Row],[Modificación 03-2021]]+Tabla14[[#This Row],[PE-01-2021]]+Tabla14[[#This Row],[MN03-20221]]</f>
        <v>187500</v>
      </c>
      <c r="N111" s="404">
        <v>187500</v>
      </c>
      <c r="O111" s="404">
        <v>0</v>
      </c>
      <c r="P111" s="404"/>
      <c r="Q111" s="404">
        <f>+Tabla14[[#This Row],[Presupuesto total]]-Tabla14[[#This Row],[Resevas]]-Tabla14[[#This Row],[Compromisos ]]-Tabla14[[#This Row],[Ejecutado]]</f>
        <v>0</v>
      </c>
      <c r="R111" s="405" t="s">
        <v>15</v>
      </c>
      <c r="S111" s="405" t="s">
        <v>836</v>
      </c>
      <c r="T111" s="405" t="s">
        <v>942</v>
      </c>
      <c r="U111" s="406" t="s">
        <v>943</v>
      </c>
      <c r="V111" s="406" t="s">
        <v>944</v>
      </c>
      <c r="W111" s="406" t="s">
        <v>943</v>
      </c>
      <c r="X111" s="406" t="s">
        <v>945</v>
      </c>
      <c r="Y111" s="407" t="s">
        <v>1081</v>
      </c>
      <c r="Z111" s="406"/>
    </row>
    <row r="112" spans="2:26" ht="54" x14ac:dyDescent="0.25">
      <c r="B112" s="401" t="s">
        <v>1082</v>
      </c>
      <c r="C112" s="403" t="s">
        <v>1083</v>
      </c>
      <c r="D112" s="403" t="s">
        <v>1084</v>
      </c>
      <c r="E112" s="404">
        <v>17715640.949999999</v>
      </c>
      <c r="F112" s="404"/>
      <c r="G112" s="404"/>
      <c r="H112" s="404"/>
      <c r="I112" s="404">
        <v>-16361000</v>
      </c>
      <c r="J112" s="404">
        <v>-187500</v>
      </c>
      <c r="K112" s="404"/>
      <c r="L112" s="404"/>
      <c r="M112" s="404">
        <f>+Tabla14[[#This Row],[Escenario 5: Monto ajustado aprobado por la CGR]]+Tabla14[[#This Row],[Modificación 01-2021]]+Tabla14[[#This Row],[MN01-2021]]+Tabla14[[#This Row],[MN02-2022]]+Tabla14[[#This Row],[Modificación 02-2021]]+Tabla14[[#This Row],[Modificación 03-2021]]+Tabla14[[#This Row],[PE-01-2021]]+Tabla14[[#This Row],[MN03-20221]]</f>
        <v>1167140.9499999993</v>
      </c>
      <c r="N112" s="404"/>
      <c r="O112" s="404">
        <v>0</v>
      </c>
      <c r="P112" s="404">
        <v>0</v>
      </c>
      <c r="Q112" s="404">
        <f>+Tabla14[[#This Row],[Presupuesto total]]-Tabla14[[#This Row],[Resevas]]-Tabla14[[#This Row],[Compromisos ]]-Tabla14[[#This Row],[Ejecutado]]</f>
        <v>1167140.9499999993</v>
      </c>
      <c r="R112" s="405" t="s">
        <v>15</v>
      </c>
      <c r="S112" s="405" t="s">
        <v>836</v>
      </c>
      <c r="T112" s="405" t="s">
        <v>837</v>
      </c>
      <c r="U112" s="406" t="s">
        <v>838</v>
      </c>
      <c r="V112" s="407" t="s">
        <v>839</v>
      </c>
      <c r="W112" s="406" t="s">
        <v>838</v>
      </c>
      <c r="X112" s="407" t="s">
        <v>840</v>
      </c>
      <c r="Y112" s="407" t="s">
        <v>1085</v>
      </c>
      <c r="Z112" s="407"/>
    </row>
    <row r="113" spans="2:26" ht="40.5" x14ac:dyDescent="0.25">
      <c r="B113" s="401" t="s">
        <v>1082</v>
      </c>
      <c r="C113" s="403" t="s">
        <v>1083</v>
      </c>
      <c r="D113" s="403" t="s">
        <v>1084</v>
      </c>
      <c r="E113" s="404">
        <v>20899230.359999999</v>
      </c>
      <c r="F113" s="404">
        <v>-3380000</v>
      </c>
      <c r="G113" s="404"/>
      <c r="H113" s="404"/>
      <c r="I113" s="404">
        <v>-8746448.0600000005</v>
      </c>
      <c r="J113" s="404"/>
      <c r="K113" s="404"/>
      <c r="L113" s="404"/>
      <c r="M113" s="404">
        <f>+Tabla14[[#This Row],[Escenario 5: Monto ajustado aprobado por la CGR]]+Tabla14[[#This Row],[Modificación 01-2021]]+Tabla14[[#This Row],[MN01-2021]]+Tabla14[[#This Row],[MN02-2022]]+Tabla14[[#This Row],[Modificación 02-2021]]+Tabla14[[#This Row],[Modificación 03-2021]]+Tabla14[[#This Row],[PE-01-2021]]+Tabla14[[#This Row],[MN03-20221]]</f>
        <v>8772782.2999999989</v>
      </c>
      <c r="N113" s="404"/>
      <c r="O113" s="404">
        <v>0</v>
      </c>
      <c r="P113" s="404">
        <v>0</v>
      </c>
      <c r="Q113" s="404">
        <f>+Tabla14[[#This Row],[Presupuesto total]]-Tabla14[[#This Row],[Resevas]]-Tabla14[[#This Row],[Compromisos ]]-Tabla14[[#This Row],[Ejecutado]]</f>
        <v>8772782.2999999989</v>
      </c>
      <c r="R113" s="405" t="s">
        <v>15</v>
      </c>
      <c r="S113" s="405" t="s">
        <v>842</v>
      </c>
      <c r="T113" s="405" t="s">
        <v>843</v>
      </c>
      <c r="U113" s="406" t="s">
        <v>844</v>
      </c>
      <c r="V113" s="407" t="s">
        <v>845</v>
      </c>
      <c r="W113" s="406" t="s">
        <v>846</v>
      </c>
      <c r="X113" s="407" t="s">
        <v>847</v>
      </c>
      <c r="Y113" s="407" t="s">
        <v>1085</v>
      </c>
      <c r="Z113" s="407"/>
    </row>
    <row r="114" spans="2:26" s="422" customFormat="1" ht="15" x14ac:dyDescent="0.25">
      <c r="B114" s="415"/>
      <c r="C114" s="416"/>
      <c r="D114" s="416"/>
      <c r="E114" s="417">
        <f>SUBTOTAL(109,Tabla14[Escenario 5: Monto ajustado aprobado por la CGR])</f>
        <v>1828789575.8200002</v>
      </c>
      <c r="F114" s="417">
        <f>SUBTOTAL(109,Tabla14[Modificación 01-2021])</f>
        <v>0</v>
      </c>
      <c r="G114" s="417">
        <f>SUBTOTAL(109,Tabla14[MN01-2021])</f>
        <v>0</v>
      </c>
      <c r="H114" s="417">
        <f>SUBTOTAL(109,Tabla14[MN02-2022])</f>
        <v>0</v>
      </c>
      <c r="I114" s="417">
        <f>SUBTOTAL(109,Tabla14[Modificación 02-2021])</f>
        <v>0</v>
      </c>
      <c r="J114" s="417">
        <f>SUBTOTAL(109,Tabla14[Modificación 03-2021])</f>
        <v>0</v>
      </c>
      <c r="K114" s="417">
        <f>SUBTOTAL(109,Tabla14[PE-01-2021])</f>
        <v>9111309.5100000054</v>
      </c>
      <c r="L114" s="417">
        <f>SUBTOTAL(109,Tabla14[MN03-20221])</f>
        <v>0</v>
      </c>
      <c r="M114" s="417">
        <f>SUBTOTAL(109,Tabla14[Presupuesto total])</f>
        <v>1837900885.3299999</v>
      </c>
      <c r="N114" s="417">
        <f>SUBTOTAL(109,Tabla14[Resevas])</f>
        <v>66475972.980000004</v>
      </c>
      <c r="O114" s="417">
        <f>SUBTOTAL(109,Tabla14[[Compromisos ]])</f>
        <v>106468876.28</v>
      </c>
      <c r="P114" s="417">
        <f>SUBTOTAL(109,Tabla14[Ejecutado])</f>
        <v>908290735.38000011</v>
      </c>
      <c r="Q114" s="417">
        <f>SUBTOTAL(109,Tabla14[Saldo disponible])</f>
        <v>756665300.6900003</v>
      </c>
      <c r="R114" s="418"/>
      <c r="S114" s="418"/>
      <c r="T114" s="418"/>
      <c r="U114" s="419"/>
      <c r="V114" s="420"/>
      <c r="W114" s="419"/>
      <c r="X114" s="420"/>
      <c r="Y114" s="77"/>
      <c r="Z114" s="421"/>
    </row>
    <row r="115" spans="2:26" s="422" customFormat="1" x14ac:dyDescent="0.25">
      <c r="B115" s="423"/>
      <c r="C115" s="424"/>
      <c r="D115" s="424"/>
      <c r="E115" s="421"/>
      <c r="F115" s="421"/>
      <c r="G115" s="421"/>
      <c r="H115" s="421"/>
      <c r="I115" s="421"/>
      <c r="J115" s="421"/>
      <c r="K115" s="421"/>
      <c r="L115" s="421"/>
      <c r="M115" s="421"/>
      <c r="N115" s="421"/>
      <c r="O115" s="421"/>
      <c r="P115" s="421"/>
      <c r="Q115" s="421"/>
      <c r="R115" s="425"/>
      <c r="S115" s="425"/>
      <c r="T115" s="425"/>
      <c r="U115" s="426"/>
      <c r="V115" s="427"/>
      <c r="Y115" s="421"/>
      <c r="Z115" s="421"/>
    </row>
    <row r="116" spans="2:26" s="422" customFormat="1" x14ac:dyDescent="0.25">
      <c r="B116" s="423"/>
      <c r="C116" s="424"/>
      <c r="D116" s="424"/>
      <c r="E116" s="428"/>
      <c r="F116" s="428"/>
      <c r="G116" s="428"/>
      <c r="H116" s="428"/>
      <c r="I116" s="428"/>
      <c r="J116" s="428"/>
      <c r="K116" s="428"/>
      <c r="L116" s="428"/>
      <c r="M116" s="428"/>
      <c r="N116" s="428"/>
      <c r="O116" s="428"/>
      <c r="P116" s="462"/>
      <c r="Q116" s="428"/>
      <c r="R116" s="425"/>
      <c r="S116" s="425"/>
      <c r="T116" s="425"/>
      <c r="U116" s="426"/>
      <c r="V116" s="427"/>
      <c r="Y116" s="421"/>
      <c r="Z116" s="421"/>
    </row>
    <row r="117" spans="2:26" s="422" customFormat="1" x14ac:dyDescent="0.25">
      <c r="B117" s="423"/>
      <c r="C117" s="424"/>
      <c r="D117" s="424"/>
      <c r="E117" s="428"/>
      <c r="F117" s="428"/>
      <c r="G117" s="428"/>
      <c r="H117" s="428"/>
      <c r="I117" s="428"/>
      <c r="J117" s="428"/>
      <c r="K117" s="428"/>
      <c r="L117" s="428"/>
      <c r="M117" s="428"/>
      <c r="N117" s="428"/>
      <c r="O117" s="428"/>
      <c r="P117" s="507"/>
      <c r="Q117" s="428"/>
      <c r="R117" s="425"/>
      <c r="S117" s="425"/>
      <c r="T117" s="425"/>
      <c r="U117" s="426"/>
      <c r="V117" s="427"/>
      <c r="Y117" s="421"/>
      <c r="Z117" s="421"/>
    </row>
    <row r="118" spans="2:26" s="422" customFormat="1" x14ac:dyDescent="0.25">
      <c r="B118" s="423"/>
      <c r="C118" s="424"/>
      <c r="D118" s="424"/>
      <c r="E118" s="429"/>
      <c r="F118" s="429"/>
      <c r="G118" s="429"/>
      <c r="H118" s="429"/>
      <c r="I118" s="429"/>
      <c r="J118" s="429"/>
      <c r="K118" s="429"/>
      <c r="L118" s="429"/>
      <c r="M118" s="429"/>
      <c r="N118" s="429"/>
      <c r="O118" s="429"/>
      <c r="P118" s="429"/>
      <c r="Q118" s="429"/>
      <c r="R118" s="425"/>
      <c r="S118" s="425"/>
      <c r="T118" s="425"/>
      <c r="U118" s="426"/>
      <c r="V118" s="427"/>
      <c r="Y118" s="430"/>
      <c r="Z118" s="421"/>
    </row>
    <row r="119" spans="2:26" s="422" customFormat="1" x14ac:dyDescent="0.25">
      <c r="B119" s="423"/>
      <c r="C119" s="424"/>
      <c r="D119" s="424"/>
      <c r="E119" s="429"/>
      <c r="F119" s="429"/>
      <c r="G119" s="429"/>
      <c r="H119" s="429"/>
      <c r="I119" s="429"/>
      <c r="J119" s="429"/>
      <c r="K119" s="429"/>
      <c r="L119" s="429"/>
      <c r="M119" s="429"/>
      <c r="N119" s="429"/>
      <c r="O119" s="429"/>
      <c r="P119" s="429"/>
      <c r="Q119" s="429"/>
      <c r="R119" s="425"/>
      <c r="S119" s="425"/>
      <c r="T119" s="425"/>
      <c r="U119" s="426"/>
      <c r="V119" s="427"/>
      <c r="Y119" s="430"/>
      <c r="Z119" s="421"/>
    </row>
    <row r="120" spans="2:26" s="422" customFormat="1" x14ac:dyDescent="0.25">
      <c r="B120" s="423"/>
      <c r="C120" s="424"/>
      <c r="D120" s="431"/>
      <c r="E120" s="429"/>
      <c r="F120" s="429"/>
      <c r="G120" s="429"/>
      <c r="H120" s="429"/>
      <c r="I120" s="429"/>
      <c r="J120" s="429"/>
      <c r="K120" s="429"/>
      <c r="L120" s="429"/>
      <c r="M120" s="429"/>
      <c r="N120" s="429"/>
      <c r="O120" s="429"/>
      <c r="P120" s="429"/>
      <c r="Q120" s="429"/>
      <c r="R120" s="432"/>
      <c r="S120" s="432"/>
      <c r="T120" s="432"/>
      <c r="U120" s="426"/>
      <c r="V120" s="427"/>
      <c r="Y120" s="430"/>
      <c r="Z120" s="421"/>
    </row>
    <row r="121" spans="2:26" s="422" customFormat="1" x14ac:dyDescent="0.25">
      <c r="B121" s="423"/>
      <c r="C121" s="424"/>
      <c r="D121" s="431"/>
      <c r="E121" s="429"/>
      <c r="F121" s="429"/>
      <c r="G121" s="429"/>
      <c r="H121" s="429"/>
      <c r="I121" s="429"/>
      <c r="J121" s="429"/>
      <c r="K121" s="429"/>
      <c r="L121" s="429"/>
      <c r="M121" s="429"/>
      <c r="N121" s="429"/>
      <c r="O121" s="429"/>
      <c r="P121" s="429"/>
      <c r="Q121" s="429"/>
      <c r="R121" s="433"/>
      <c r="S121" s="433"/>
      <c r="T121" s="433"/>
      <c r="U121" s="426"/>
      <c r="V121" s="427"/>
      <c r="Y121" s="430"/>
      <c r="Z121" s="421"/>
    </row>
    <row r="122" spans="2:26" s="422" customFormat="1" x14ac:dyDescent="0.25">
      <c r="B122" s="423"/>
      <c r="C122" s="424"/>
      <c r="D122" s="424"/>
      <c r="E122" s="434"/>
      <c r="F122" s="434"/>
      <c r="G122" s="434"/>
      <c r="H122" s="434"/>
      <c r="I122" s="434"/>
      <c r="J122" s="434"/>
      <c r="K122" s="434"/>
      <c r="L122" s="434"/>
      <c r="M122" s="434"/>
      <c r="N122" s="434"/>
      <c r="O122" s="434"/>
      <c r="P122" s="434"/>
      <c r="Q122" s="434"/>
      <c r="R122" s="435"/>
      <c r="S122" s="435"/>
      <c r="T122" s="435"/>
      <c r="U122" s="426"/>
      <c r="V122" s="427"/>
      <c r="Y122" s="421"/>
      <c r="Z122" s="421"/>
    </row>
    <row r="123" spans="2:26" s="422" customFormat="1" x14ac:dyDescent="0.25">
      <c r="B123" s="423"/>
      <c r="C123" s="424"/>
      <c r="D123" s="424"/>
      <c r="E123" s="436"/>
      <c r="F123" s="436"/>
      <c r="G123" s="436"/>
      <c r="H123" s="436"/>
      <c r="I123" s="436"/>
      <c r="J123" s="436"/>
      <c r="K123" s="436"/>
      <c r="L123" s="436"/>
      <c r="M123" s="436"/>
      <c r="N123" s="436"/>
      <c r="O123" s="436"/>
      <c r="P123" s="436"/>
      <c r="Q123" s="436"/>
      <c r="R123" s="437"/>
      <c r="S123" s="437"/>
      <c r="T123" s="437"/>
      <c r="U123" s="426"/>
      <c r="V123" s="427"/>
      <c r="Y123" s="421"/>
      <c r="Z123" s="421"/>
    </row>
    <row r="124" spans="2:26" s="422" customFormat="1" x14ac:dyDescent="0.25">
      <c r="B124" s="423"/>
      <c r="C124" s="424"/>
      <c r="D124" s="424"/>
      <c r="E124" s="438"/>
      <c r="F124" s="438"/>
      <c r="G124" s="438"/>
      <c r="H124" s="438"/>
      <c r="I124" s="438"/>
      <c r="J124" s="438"/>
      <c r="K124" s="438"/>
      <c r="L124" s="438"/>
      <c r="M124" s="438"/>
      <c r="N124" s="438"/>
      <c r="O124" s="438"/>
      <c r="P124" s="438"/>
      <c r="Q124" s="438"/>
      <c r="R124" s="425"/>
      <c r="S124" s="425"/>
      <c r="T124" s="425"/>
      <c r="U124" s="426"/>
      <c r="V124" s="427"/>
      <c r="Y124" s="421"/>
      <c r="Z124" s="421"/>
    </row>
    <row r="125" spans="2:26" s="422" customFormat="1" x14ac:dyDescent="0.25">
      <c r="B125" s="423"/>
      <c r="C125" s="424"/>
      <c r="D125" s="424"/>
      <c r="E125" s="421"/>
      <c r="F125" s="421"/>
      <c r="G125" s="421"/>
      <c r="H125" s="421"/>
      <c r="I125" s="421"/>
      <c r="J125" s="421"/>
      <c r="K125" s="421"/>
      <c r="L125" s="421"/>
      <c r="M125" s="421"/>
      <c r="N125" s="421"/>
      <c r="O125" s="421"/>
      <c r="P125" s="421"/>
      <c r="Q125" s="421"/>
      <c r="R125" s="425"/>
      <c r="S125" s="425"/>
      <c r="T125" s="425"/>
      <c r="U125" s="426"/>
      <c r="V125" s="427"/>
      <c r="Y125" s="421"/>
      <c r="Z125" s="421"/>
    </row>
    <row r="126" spans="2:26" s="422" customFormat="1" x14ac:dyDescent="0.25">
      <c r="B126" s="423"/>
      <c r="C126" s="424"/>
      <c r="D126" s="439"/>
      <c r="E126" s="440"/>
      <c r="F126" s="440"/>
      <c r="G126" s="440"/>
      <c r="H126" s="440"/>
      <c r="I126" s="440"/>
      <c r="J126" s="440"/>
      <c r="K126" s="440"/>
      <c r="L126" s="440"/>
      <c r="M126" s="440"/>
      <c r="N126" s="440"/>
      <c r="O126" s="440"/>
      <c r="P126" s="440"/>
      <c r="Q126" s="440"/>
      <c r="R126" s="441"/>
      <c r="S126" s="441"/>
      <c r="T126" s="441"/>
      <c r="U126" s="426"/>
      <c r="V126" s="427"/>
      <c r="Y126" s="442"/>
      <c r="Z126" s="421"/>
    </row>
    <row r="127" spans="2:26" s="422" customFormat="1" x14ac:dyDescent="0.25">
      <c r="B127" s="423"/>
      <c r="C127" s="424"/>
      <c r="D127" s="439"/>
      <c r="E127" s="421"/>
      <c r="F127" s="421"/>
      <c r="G127" s="421"/>
      <c r="H127" s="421"/>
      <c r="I127" s="421"/>
      <c r="J127" s="421"/>
      <c r="K127" s="421"/>
      <c r="L127" s="421"/>
      <c r="M127" s="421"/>
      <c r="N127" s="421"/>
      <c r="O127" s="421"/>
      <c r="P127" s="421"/>
      <c r="Q127" s="421"/>
      <c r="R127" s="425"/>
      <c r="S127" s="425"/>
      <c r="T127" s="425"/>
      <c r="U127" s="426"/>
      <c r="V127" s="427"/>
      <c r="Y127" s="443"/>
      <c r="Z127" s="421"/>
    </row>
    <row r="128" spans="2:26" s="422" customFormat="1" x14ac:dyDescent="0.25">
      <c r="B128" s="423"/>
      <c r="C128" s="424"/>
      <c r="D128" s="439"/>
      <c r="E128" s="421"/>
      <c r="F128" s="421"/>
      <c r="G128" s="421"/>
      <c r="H128" s="421"/>
      <c r="I128" s="421"/>
      <c r="J128" s="421"/>
      <c r="K128" s="421"/>
      <c r="L128" s="421"/>
      <c r="M128" s="421"/>
      <c r="N128" s="421"/>
      <c r="O128" s="421"/>
      <c r="P128" s="421"/>
      <c r="Q128" s="421"/>
      <c r="R128" s="425"/>
      <c r="S128" s="425"/>
      <c r="T128" s="425"/>
      <c r="U128" s="426"/>
      <c r="V128" s="427"/>
      <c r="Y128" s="432"/>
      <c r="Z128" s="421"/>
    </row>
    <row r="129" spans="2:26" s="422" customFormat="1" x14ac:dyDescent="0.25">
      <c r="B129" s="423"/>
      <c r="C129" s="424"/>
      <c r="D129" s="439"/>
      <c r="E129" s="421"/>
      <c r="F129" s="421"/>
      <c r="G129" s="421"/>
      <c r="H129" s="421"/>
      <c r="I129" s="421"/>
      <c r="J129" s="421"/>
      <c r="K129" s="421"/>
      <c r="L129" s="421"/>
      <c r="M129" s="421"/>
      <c r="N129" s="421"/>
      <c r="O129" s="421"/>
      <c r="P129" s="421"/>
      <c r="Q129" s="421"/>
      <c r="R129" s="425"/>
      <c r="S129" s="425"/>
      <c r="T129" s="425"/>
      <c r="U129" s="426"/>
      <c r="V129" s="427"/>
      <c r="Y129" s="432"/>
      <c r="Z129" s="421"/>
    </row>
    <row r="130" spans="2:26" s="422" customFormat="1" x14ac:dyDescent="0.25">
      <c r="B130" s="423"/>
      <c r="C130" s="424"/>
      <c r="D130" s="439"/>
      <c r="E130" s="421"/>
      <c r="F130" s="421"/>
      <c r="G130" s="421"/>
      <c r="H130" s="421"/>
      <c r="I130" s="421"/>
      <c r="J130" s="421"/>
      <c r="K130" s="421"/>
      <c r="L130" s="421"/>
      <c r="M130" s="421"/>
      <c r="N130" s="421"/>
      <c r="O130" s="421"/>
      <c r="P130" s="421"/>
      <c r="Q130" s="421"/>
      <c r="R130" s="425"/>
      <c r="S130" s="425"/>
      <c r="T130" s="425"/>
      <c r="U130" s="426"/>
      <c r="V130" s="427"/>
      <c r="Y130" s="432"/>
      <c r="Z130" s="421"/>
    </row>
    <row r="131" spans="2:26" s="422" customFormat="1" x14ac:dyDescent="0.25">
      <c r="B131" s="423"/>
      <c r="C131" s="424"/>
      <c r="D131" s="439"/>
      <c r="E131" s="421"/>
      <c r="F131" s="421"/>
      <c r="G131" s="421"/>
      <c r="H131" s="421"/>
      <c r="I131" s="421"/>
      <c r="J131" s="421"/>
      <c r="K131" s="421"/>
      <c r="L131" s="421"/>
      <c r="M131" s="421"/>
      <c r="N131" s="421"/>
      <c r="O131" s="421"/>
      <c r="P131" s="421"/>
      <c r="Q131" s="421"/>
      <c r="R131" s="441"/>
      <c r="S131" s="441"/>
      <c r="T131" s="441"/>
      <c r="U131" s="426"/>
      <c r="V131" s="427"/>
      <c r="Y131" s="433"/>
      <c r="Z131" s="421"/>
    </row>
    <row r="132" spans="2:26" s="422" customFormat="1" x14ac:dyDescent="0.25">
      <c r="B132" s="423"/>
      <c r="C132" s="424"/>
      <c r="D132" s="444"/>
      <c r="E132" s="421"/>
      <c r="F132" s="421"/>
      <c r="G132" s="421"/>
      <c r="H132" s="421"/>
      <c r="I132" s="421"/>
      <c r="J132" s="421"/>
      <c r="K132" s="421"/>
      <c r="L132" s="421"/>
      <c r="M132" s="421"/>
      <c r="N132" s="421"/>
      <c r="O132" s="421"/>
      <c r="P132" s="421"/>
      <c r="Q132" s="421"/>
      <c r="R132" s="445"/>
      <c r="S132" s="445"/>
      <c r="T132" s="445"/>
      <c r="U132" s="426"/>
      <c r="V132" s="427"/>
      <c r="Y132" s="446"/>
      <c r="Z132" s="421"/>
    </row>
    <row r="133" spans="2:26" s="422" customFormat="1" x14ac:dyDescent="0.25">
      <c r="B133" s="423"/>
      <c r="C133" s="424"/>
      <c r="D133" s="424"/>
      <c r="E133" s="421"/>
      <c r="F133" s="421"/>
      <c r="G133" s="421"/>
      <c r="H133" s="421"/>
      <c r="I133" s="421"/>
      <c r="J133" s="421"/>
      <c r="K133" s="421"/>
      <c r="L133" s="421"/>
      <c r="M133" s="421"/>
      <c r="N133" s="421"/>
      <c r="O133" s="421"/>
      <c r="P133" s="421"/>
      <c r="Q133" s="421"/>
      <c r="R133" s="441"/>
      <c r="S133" s="441"/>
      <c r="T133" s="441"/>
      <c r="U133" s="426"/>
      <c r="V133" s="427"/>
      <c r="Y133" s="447"/>
      <c r="Z133" s="421"/>
    </row>
    <row r="134" spans="2:26" s="422" customFormat="1" x14ac:dyDescent="0.25">
      <c r="B134" s="423"/>
      <c r="C134" s="424"/>
      <c r="D134" s="439"/>
      <c r="E134" s="421"/>
      <c r="F134" s="421"/>
      <c r="G134" s="421"/>
      <c r="H134" s="421"/>
      <c r="I134" s="421"/>
      <c r="J134" s="421"/>
      <c r="K134" s="421"/>
      <c r="L134" s="421"/>
      <c r="M134" s="421"/>
      <c r="N134" s="421"/>
      <c r="O134" s="421"/>
      <c r="P134" s="421"/>
      <c r="Q134" s="421"/>
      <c r="R134" s="425"/>
      <c r="S134" s="425"/>
      <c r="T134" s="425"/>
      <c r="U134" s="426"/>
      <c r="V134" s="427"/>
      <c r="Y134" s="421"/>
      <c r="Z134" s="421"/>
    </row>
    <row r="135" spans="2:26" s="422" customFormat="1" x14ac:dyDescent="0.25">
      <c r="B135" s="423"/>
      <c r="C135" s="424"/>
      <c r="D135" s="448"/>
      <c r="E135" s="421"/>
      <c r="F135" s="421"/>
      <c r="G135" s="421"/>
      <c r="H135" s="421"/>
      <c r="I135" s="421"/>
      <c r="J135" s="421"/>
      <c r="K135" s="421"/>
      <c r="L135" s="421"/>
      <c r="M135" s="421"/>
      <c r="N135" s="421"/>
      <c r="O135" s="421"/>
      <c r="P135" s="421"/>
      <c r="Q135" s="421"/>
      <c r="R135" s="425"/>
      <c r="S135" s="425"/>
      <c r="T135" s="425"/>
      <c r="U135" s="426"/>
      <c r="V135" s="427"/>
      <c r="Y135" s="421"/>
      <c r="Z135" s="421"/>
    </row>
    <row r="136" spans="2:26" s="422" customFormat="1" x14ac:dyDescent="0.25">
      <c r="B136" s="423"/>
      <c r="C136" s="424"/>
      <c r="D136" s="449"/>
      <c r="E136" s="440"/>
      <c r="F136" s="440"/>
      <c r="G136" s="440"/>
      <c r="H136" s="440"/>
      <c r="I136" s="440"/>
      <c r="J136" s="440"/>
      <c r="K136" s="440"/>
      <c r="L136" s="440"/>
      <c r="M136" s="440"/>
      <c r="N136" s="440"/>
      <c r="O136" s="440"/>
      <c r="P136" s="440"/>
      <c r="Q136" s="440"/>
      <c r="R136" s="435"/>
      <c r="S136" s="435"/>
      <c r="T136" s="435"/>
      <c r="U136" s="426"/>
      <c r="V136" s="427"/>
      <c r="Y136" s="421"/>
      <c r="Z136" s="421"/>
    </row>
    <row r="137" spans="2:26" s="422" customFormat="1" x14ac:dyDescent="0.25">
      <c r="B137" s="423"/>
      <c r="C137" s="424"/>
      <c r="D137" s="449"/>
      <c r="E137" s="421"/>
      <c r="F137" s="421"/>
      <c r="G137" s="421"/>
      <c r="H137" s="421"/>
      <c r="I137" s="421"/>
      <c r="J137" s="421"/>
      <c r="K137" s="421"/>
      <c r="L137" s="421"/>
      <c r="M137" s="421"/>
      <c r="N137" s="421"/>
      <c r="O137" s="421"/>
      <c r="P137" s="421"/>
      <c r="Q137" s="421"/>
      <c r="R137" s="437"/>
      <c r="S137" s="437"/>
      <c r="T137" s="437"/>
      <c r="U137" s="426"/>
      <c r="V137" s="427"/>
      <c r="Y137" s="421"/>
      <c r="Z137" s="421"/>
    </row>
    <row r="138" spans="2:26" s="422" customFormat="1" x14ac:dyDescent="0.25">
      <c r="B138" s="423"/>
      <c r="C138" s="424"/>
      <c r="D138" s="424"/>
      <c r="E138" s="421"/>
      <c r="F138" s="421"/>
      <c r="G138" s="421"/>
      <c r="H138" s="421"/>
      <c r="I138" s="421"/>
      <c r="J138" s="421"/>
      <c r="K138" s="421"/>
      <c r="L138" s="421"/>
      <c r="M138" s="421"/>
      <c r="N138" s="421"/>
      <c r="O138" s="421"/>
      <c r="P138" s="421"/>
      <c r="Q138" s="421"/>
      <c r="R138" s="425"/>
      <c r="S138" s="425"/>
      <c r="T138" s="425"/>
      <c r="U138" s="426"/>
      <c r="V138" s="427"/>
      <c r="Y138" s="421"/>
      <c r="Z138" s="421"/>
    </row>
    <row r="139" spans="2:26" s="422" customFormat="1" x14ac:dyDescent="0.25">
      <c r="B139" s="423"/>
      <c r="C139" s="424"/>
      <c r="D139" s="424"/>
      <c r="E139" s="421"/>
      <c r="F139" s="421"/>
      <c r="G139" s="421"/>
      <c r="H139" s="421"/>
      <c r="I139" s="421"/>
      <c r="J139" s="421"/>
      <c r="K139" s="421"/>
      <c r="L139" s="421"/>
      <c r="M139" s="421"/>
      <c r="N139" s="421"/>
      <c r="O139" s="421"/>
      <c r="P139" s="421"/>
      <c r="Q139" s="421"/>
      <c r="R139" s="425"/>
      <c r="S139" s="425"/>
      <c r="T139" s="425"/>
      <c r="U139" s="426"/>
      <c r="V139" s="427"/>
      <c r="Y139" s="421"/>
      <c r="Z139" s="421"/>
    </row>
    <row r="140" spans="2:26" s="422" customFormat="1" x14ac:dyDescent="0.25">
      <c r="B140" s="423"/>
      <c r="C140" s="424"/>
      <c r="D140" s="424"/>
      <c r="E140" s="421"/>
      <c r="F140" s="421"/>
      <c r="G140" s="421"/>
      <c r="H140" s="421"/>
      <c r="I140" s="421"/>
      <c r="J140" s="421"/>
      <c r="K140" s="421"/>
      <c r="L140" s="421"/>
      <c r="M140" s="421"/>
      <c r="N140" s="421"/>
      <c r="O140" s="421"/>
      <c r="P140" s="421"/>
      <c r="Q140" s="421"/>
      <c r="R140" s="425"/>
      <c r="S140" s="425"/>
      <c r="T140" s="425"/>
      <c r="U140" s="426"/>
      <c r="V140" s="427"/>
      <c r="Y140" s="421"/>
      <c r="Z140" s="421"/>
    </row>
    <row r="141" spans="2:26" s="422" customFormat="1" x14ac:dyDescent="0.25">
      <c r="B141" s="423"/>
      <c r="C141" s="424"/>
      <c r="D141" s="424"/>
      <c r="E141" s="421"/>
      <c r="F141" s="421"/>
      <c r="G141" s="421"/>
      <c r="H141" s="421"/>
      <c r="I141" s="421"/>
      <c r="J141" s="421"/>
      <c r="K141" s="421"/>
      <c r="L141" s="421"/>
      <c r="M141" s="421"/>
      <c r="N141" s="421"/>
      <c r="O141" s="421"/>
      <c r="P141" s="421"/>
      <c r="Q141" s="421"/>
      <c r="R141" s="425"/>
      <c r="S141" s="425"/>
      <c r="T141" s="425"/>
      <c r="U141" s="426"/>
      <c r="V141" s="427"/>
      <c r="Y141" s="421"/>
      <c r="Z141" s="421"/>
    </row>
    <row r="142" spans="2:26" s="422" customFormat="1" x14ac:dyDescent="0.25">
      <c r="B142" s="423"/>
      <c r="C142" s="424"/>
      <c r="D142" s="424"/>
      <c r="E142" s="421"/>
      <c r="F142" s="421"/>
      <c r="G142" s="421"/>
      <c r="H142" s="421"/>
      <c r="I142" s="421"/>
      <c r="J142" s="421"/>
      <c r="K142" s="421"/>
      <c r="L142" s="421"/>
      <c r="M142" s="421"/>
      <c r="N142" s="421"/>
      <c r="O142" s="421"/>
      <c r="P142" s="421"/>
      <c r="Q142" s="421"/>
      <c r="R142" s="425"/>
      <c r="S142" s="425"/>
      <c r="T142" s="425"/>
      <c r="U142" s="426"/>
      <c r="V142" s="427"/>
      <c r="Y142" s="421"/>
      <c r="Z142" s="421"/>
    </row>
    <row r="143" spans="2:26" s="422" customFormat="1" x14ac:dyDescent="0.25">
      <c r="B143" s="423"/>
      <c r="C143" s="424"/>
      <c r="D143" s="424"/>
      <c r="E143" s="421"/>
      <c r="F143" s="421"/>
      <c r="G143" s="421"/>
      <c r="H143" s="421"/>
      <c r="I143" s="421"/>
      <c r="J143" s="421"/>
      <c r="K143" s="421"/>
      <c r="L143" s="421"/>
      <c r="M143" s="421"/>
      <c r="N143" s="421"/>
      <c r="O143" s="421"/>
      <c r="P143" s="421"/>
      <c r="Q143" s="421"/>
      <c r="R143" s="425"/>
      <c r="S143" s="425"/>
      <c r="T143" s="425"/>
      <c r="U143" s="426"/>
      <c r="V143" s="427"/>
      <c r="Y143" s="421"/>
      <c r="Z143" s="421"/>
    </row>
    <row r="144" spans="2:26" s="422" customFormat="1" x14ac:dyDescent="0.25">
      <c r="B144" s="423"/>
      <c r="C144" s="424"/>
      <c r="D144" s="424"/>
      <c r="E144" s="421"/>
      <c r="F144" s="421"/>
      <c r="G144" s="421"/>
      <c r="H144" s="421"/>
      <c r="I144" s="421"/>
      <c r="J144" s="421"/>
      <c r="K144" s="421"/>
      <c r="L144" s="421"/>
      <c r="M144" s="421"/>
      <c r="N144" s="421"/>
      <c r="O144" s="421"/>
      <c r="P144" s="421"/>
      <c r="Q144" s="421"/>
      <c r="R144" s="425"/>
      <c r="S144" s="425"/>
      <c r="T144" s="425"/>
      <c r="U144" s="426"/>
      <c r="V144" s="427"/>
      <c r="Y144" s="421"/>
      <c r="Z144" s="421"/>
    </row>
    <row r="145" spans="2:26" s="422" customFormat="1" x14ac:dyDescent="0.25">
      <c r="B145" s="423"/>
      <c r="C145" s="424"/>
      <c r="D145" s="424"/>
      <c r="E145" s="421"/>
      <c r="F145" s="421"/>
      <c r="G145" s="421"/>
      <c r="H145" s="421"/>
      <c r="I145" s="421"/>
      <c r="J145" s="421"/>
      <c r="K145" s="421"/>
      <c r="L145" s="421"/>
      <c r="M145" s="421"/>
      <c r="N145" s="421"/>
      <c r="O145" s="421"/>
      <c r="P145" s="421"/>
      <c r="Q145" s="421"/>
      <c r="R145" s="425"/>
      <c r="S145" s="425"/>
      <c r="T145" s="425"/>
      <c r="U145" s="426"/>
      <c r="V145" s="427"/>
      <c r="Y145" s="421"/>
      <c r="Z145" s="421"/>
    </row>
    <row r="146" spans="2:26" s="422" customFormat="1" x14ac:dyDescent="0.25">
      <c r="B146" s="423"/>
      <c r="C146" s="424"/>
      <c r="D146" s="424"/>
      <c r="E146" s="421"/>
      <c r="F146" s="421"/>
      <c r="G146" s="421"/>
      <c r="H146" s="421"/>
      <c r="I146" s="421"/>
      <c r="J146" s="421"/>
      <c r="K146" s="421"/>
      <c r="L146" s="421"/>
      <c r="M146" s="421"/>
      <c r="N146" s="421"/>
      <c r="O146" s="421"/>
      <c r="P146" s="421"/>
      <c r="Q146" s="421"/>
      <c r="R146" s="425"/>
      <c r="S146" s="425"/>
      <c r="T146" s="425"/>
      <c r="U146" s="426"/>
      <c r="V146" s="427"/>
      <c r="Y146" s="421"/>
      <c r="Z146" s="421"/>
    </row>
    <row r="147" spans="2:26" s="422" customFormat="1" x14ac:dyDescent="0.25">
      <c r="B147" s="423"/>
      <c r="C147" s="424"/>
      <c r="D147" s="424"/>
      <c r="E147" s="421"/>
      <c r="F147" s="421"/>
      <c r="G147" s="421"/>
      <c r="H147" s="421"/>
      <c r="I147" s="421"/>
      <c r="J147" s="421"/>
      <c r="K147" s="421"/>
      <c r="L147" s="421"/>
      <c r="M147" s="421"/>
      <c r="N147" s="421"/>
      <c r="O147" s="421"/>
      <c r="P147" s="421"/>
      <c r="Q147" s="421"/>
      <c r="R147" s="425"/>
      <c r="S147" s="425"/>
      <c r="T147" s="425"/>
      <c r="U147" s="426"/>
      <c r="V147" s="427"/>
      <c r="Y147" s="421"/>
      <c r="Z147" s="421"/>
    </row>
    <row r="148" spans="2:26" s="422" customFormat="1" x14ac:dyDescent="0.25">
      <c r="B148" s="423"/>
      <c r="C148" s="424"/>
      <c r="D148" s="424"/>
      <c r="E148" s="421"/>
      <c r="F148" s="421"/>
      <c r="G148" s="421"/>
      <c r="H148" s="421"/>
      <c r="I148" s="421"/>
      <c r="J148" s="421"/>
      <c r="K148" s="421"/>
      <c r="L148" s="421"/>
      <c r="M148" s="421"/>
      <c r="N148" s="421"/>
      <c r="O148" s="421"/>
      <c r="P148" s="421"/>
      <c r="Q148" s="421"/>
      <c r="R148" s="425"/>
      <c r="S148" s="425"/>
      <c r="T148" s="425"/>
      <c r="U148" s="426"/>
      <c r="V148" s="427"/>
      <c r="Y148" s="421"/>
      <c r="Z148" s="421"/>
    </row>
    <row r="149" spans="2:26" s="422" customFormat="1" x14ac:dyDescent="0.25">
      <c r="B149" s="423"/>
      <c r="C149" s="424"/>
      <c r="D149" s="424"/>
      <c r="E149" s="421"/>
      <c r="F149" s="421"/>
      <c r="G149" s="421"/>
      <c r="H149" s="421"/>
      <c r="I149" s="421"/>
      <c r="J149" s="421"/>
      <c r="K149" s="421"/>
      <c r="L149" s="421"/>
      <c r="M149" s="421"/>
      <c r="N149" s="421"/>
      <c r="O149" s="421"/>
      <c r="P149" s="421"/>
      <c r="Q149" s="421"/>
      <c r="R149" s="425"/>
      <c r="S149" s="425"/>
      <c r="T149" s="425"/>
      <c r="U149" s="426"/>
      <c r="V149" s="427"/>
      <c r="Y149" s="421"/>
      <c r="Z149" s="421"/>
    </row>
    <row r="150" spans="2:26" s="422" customFormat="1" x14ac:dyDescent="0.25">
      <c r="B150" s="423"/>
      <c r="C150" s="424"/>
      <c r="D150" s="424"/>
      <c r="E150" s="421"/>
      <c r="F150" s="421"/>
      <c r="G150" s="421"/>
      <c r="H150" s="421"/>
      <c r="I150" s="421"/>
      <c r="J150" s="421"/>
      <c r="K150" s="421"/>
      <c r="L150" s="421"/>
      <c r="M150" s="421"/>
      <c r="N150" s="421"/>
      <c r="O150" s="421"/>
      <c r="P150" s="421"/>
      <c r="Q150" s="421"/>
      <c r="R150" s="425"/>
      <c r="S150" s="425"/>
      <c r="T150" s="425"/>
      <c r="U150" s="426"/>
      <c r="V150" s="427"/>
      <c r="Y150" s="421"/>
      <c r="Z150" s="421"/>
    </row>
    <row r="151" spans="2:26" s="422" customFormat="1" x14ac:dyDescent="0.25">
      <c r="B151" s="423"/>
      <c r="C151" s="424"/>
      <c r="D151" s="424"/>
      <c r="E151" s="421"/>
      <c r="F151" s="421"/>
      <c r="G151" s="421"/>
      <c r="H151" s="421"/>
      <c r="I151" s="421"/>
      <c r="J151" s="421"/>
      <c r="K151" s="421"/>
      <c r="L151" s="421"/>
      <c r="M151" s="421"/>
      <c r="N151" s="421"/>
      <c r="O151" s="421"/>
      <c r="P151" s="421"/>
      <c r="Q151" s="421"/>
      <c r="R151" s="425"/>
      <c r="S151" s="425"/>
      <c r="T151" s="425"/>
      <c r="U151" s="426"/>
      <c r="V151" s="427"/>
      <c r="Y151" s="421"/>
      <c r="Z151" s="421"/>
    </row>
    <row r="152" spans="2:26" s="422" customFormat="1" x14ac:dyDescent="0.25">
      <c r="B152" s="423"/>
      <c r="C152" s="424"/>
      <c r="D152" s="424"/>
      <c r="E152" s="421"/>
      <c r="F152" s="421"/>
      <c r="G152" s="421"/>
      <c r="H152" s="421"/>
      <c r="I152" s="421"/>
      <c r="J152" s="421"/>
      <c r="K152" s="421"/>
      <c r="L152" s="421"/>
      <c r="M152" s="421"/>
      <c r="N152" s="421"/>
      <c r="O152" s="421"/>
      <c r="P152" s="421"/>
      <c r="Q152" s="421"/>
      <c r="R152" s="425"/>
      <c r="S152" s="425"/>
      <c r="T152" s="425"/>
      <c r="U152" s="426"/>
      <c r="V152" s="427"/>
      <c r="Y152" s="421"/>
      <c r="Z152" s="421"/>
    </row>
    <row r="153" spans="2:26" s="422" customFormat="1" x14ac:dyDescent="0.25">
      <c r="B153" s="423"/>
      <c r="C153" s="424"/>
      <c r="D153" s="424"/>
      <c r="E153" s="421"/>
      <c r="F153" s="421"/>
      <c r="G153" s="421"/>
      <c r="H153" s="421"/>
      <c r="I153" s="421"/>
      <c r="J153" s="421"/>
      <c r="K153" s="421"/>
      <c r="L153" s="421"/>
      <c r="M153" s="421"/>
      <c r="N153" s="421"/>
      <c r="O153" s="421"/>
      <c r="P153" s="421"/>
      <c r="Q153" s="421"/>
      <c r="R153" s="425"/>
      <c r="S153" s="425"/>
      <c r="T153" s="425"/>
      <c r="U153" s="426"/>
      <c r="V153" s="427"/>
      <c r="Y153" s="421"/>
      <c r="Z153" s="421"/>
    </row>
    <row r="154" spans="2:26" s="422" customFormat="1" x14ac:dyDescent="0.25">
      <c r="B154" s="423"/>
      <c r="C154" s="424"/>
      <c r="D154" s="424"/>
      <c r="E154" s="421"/>
      <c r="F154" s="421"/>
      <c r="G154" s="421"/>
      <c r="H154" s="421"/>
      <c r="I154" s="421"/>
      <c r="J154" s="421"/>
      <c r="K154" s="421"/>
      <c r="L154" s="421"/>
      <c r="M154" s="421"/>
      <c r="N154" s="421"/>
      <c r="O154" s="421"/>
      <c r="P154" s="421"/>
      <c r="Q154" s="421"/>
      <c r="R154" s="425"/>
      <c r="S154" s="425"/>
      <c r="T154" s="425"/>
      <c r="U154" s="426"/>
      <c r="V154" s="427"/>
      <c r="Y154" s="421"/>
      <c r="Z154" s="421"/>
    </row>
    <row r="155" spans="2:26" s="422" customFormat="1" x14ac:dyDescent="0.25">
      <c r="B155" s="423"/>
      <c r="C155" s="424"/>
      <c r="D155" s="424"/>
      <c r="E155" s="421"/>
      <c r="F155" s="421"/>
      <c r="G155" s="421"/>
      <c r="H155" s="421"/>
      <c r="I155" s="421"/>
      <c r="J155" s="421"/>
      <c r="K155" s="421"/>
      <c r="L155" s="421"/>
      <c r="M155" s="421"/>
      <c r="N155" s="421"/>
      <c r="O155" s="421"/>
      <c r="P155" s="421"/>
      <c r="Q155" s="421"/>
      <c r="R155" s="425"/>
      <c r="S155" s="425"/>
      <c r="T155" s="425"/>
      <c r="U155" s="426"/>
      <c r="V155" s="427"/>
      <c r="Y155" s="421"/>
      <c r="Z155" s="421"/>
    </row>
    <row r="156" spans="2:26" s="422" customFormat="1" x14ac:dyDescent="0.25">
      <c r="B156" s="423"/>
      <c r="C156" s="424"/>
      <c r="D156" s="424"/>
      <c r="E156" s="421"/>
      <c r="F156" s="421"/>
      <c r="G156" s="421"/>
      <c r="H156" s="421"/>
      <c r="I156" s="421"/>
      <c r="J156" s="421"/>
      <c r="K156" s="421"/>
      <c r="L156" s="421"/>
      <c r="M156" s="421"/>
      <c r="N156" s="421"/>
      <c r="O156" s="421"/>
      <c r="P156" s="421"/>
      <c r="Q156" s="421"/>
      <c r="R156" s="425"/>
      <c r="S156" s="425"/>
      <c r="T156" s="425"/>
      <c r="U156" s="426"/>
      <c r="V156" s="427"/>
      <c r="Y156" s="421"/>
      <c r="Z156" s="421"/>
    </row>
    <row r="157" spans="2:26" s="422" customFormat="1" x14ac:dyDescent="0.25">
      <c r="B157" s="423"/>
      <c r="C157" s="424"/>
      <c r="D157" s="424"/>
      <c r="E157" s="421"/>
      <c r="F157" s="421"/>
      <c r="G157" s="421"/>
      <c r="H157" s="421"/>
      <c r="I157" s="421"/>
      <c r="J157" s="421"/>
      <c r="K157" s="421"/>
      <c r="L157" s="421"/>
      <c r="M157" s="421"/>
      <c r="N157" s="421"/>
      <c r="O157" s="421"/>
      <c r="P157" s="421"/>
      <c r="Q157" s="421"/>
      <c r="R157" s="425"/>
      <c r="S157" s="425"/>
      <c r="T157" s="425"/>
      <c r="U157" s="426"/>
      <c r="V157" s="427"/>
      <c r="Y157" s="421"/>
      <c r="Z157" s="421"/>
    </row>
    <row r="158" spans="2:26" s="422" customFormat="1" x14ac:dyDescent="0.25">
      <c r="B158" s="423"/>
      <c r="C158" s="424"/>
      <c r="D158" s="424"/>
      <c r="E158" s="421"/>
      <c r="F158" s="421"/>
      <c r="G158" s="421"/>
      <c r="H158" s="421"/>
      <c r="I158" s="421"/>
      <c r="J158" s="421"/>
      <c r="K158" s="421"/>
      <c r="L158" s="421"/>
      <c r="M158" s="421"/>
      <c r="N158" s="421"/>
      <c r="O158" s="421"/>
      <c r="P158" s="421"/>
      <c r="Q158" s="421"/>
      <c r="R158" s="425"/>
      <c r="S158" s="425"/>
      <c r="T158" s="425"/>
      <c r="U158" s="426"/>
      <c r="V158" s="427"/>
      <c r="Y158" s="421"/>
      <c r="Z158" s="421"/>
    </row>
    <row r="159" spans="2:26" s="422" customFormat="1" x14ac:dyDescent="0.25">
      <c r="B159" s="423"/>
      <c r="C159" s="424"/>
      <c r="D159" s="424"/>
      <c r="E159" s="421"/>
      <c r="F159" s="421"/>
      <c r="G159" s="421"/>
      <c r="H159" s="421"/>
      <c r="I159" s="421"/>
      <c r="J159" s="421"/>
      <c r="K159" s="421"/>
      <c r="L159" s="421"/>
      <c r="M159" s="421"/>
      <c r="N159" s="421"/>
      <c r="O159" s="421"/>
      <c r="P159" s="421"/>
      <c r="Q159" s="421"/>
      <c r="R159" s="425"/>
      <c r="S159" s="425"/>
      <c r="T159" s="425"/>
      <c r="U159" s="426"/>
      <c r="V159" s="427"/>
      <c r="Y159" s="421"/>
      <c r="Z159" s="421"/>
    </row>
    <row r="160" spans="2:26" s="422" customFormat="1" x14ac:dyDescent="0.25">
      <c r="B160" s="423"/>
      <c r="C160" s="424"/>
      <c r="D160" s="424"/>
      <c r="E160" s="421"/>
      <c r="F160" s="421"/>
      <c r="G160" s="421"/>
      <c r="H160" s="421"/>
      <c r="I160" s="421"/>
      <c r="J160" s="421"/>
      <c r="K160" s="421"/>
      <c r="L160" s="421"/>
      <c r="M160" s="421"/>
      <c r="N160" s="421"/>
      <c r="O160" s="421"/>
      <c r="P160" s="421"/>
      <c r="Q160" s="421"/>
      <c r="R160" s="425"/>
      <c r="S160" s="425"/>
      <c r="T160" s="425"/>
      <c r="U160" s="426"/>
      <c r="V160" s="427"/>
      <c r="Y160" s="421"/>
      <c r="Z160" s="421"/>
    </row>
    <row r="161" spans="2:26" s="422" customFormat="1" x14ac:dyDescent="0.25">
      <c r="B161" s="423"/>
      <c r="C161" s="424"/>
      <c r="D161" s="424"/>
      <c r="E161" s="421"/>
      <c r="F161" s="421"/>
      <c r="G161" s="421"/>
      <c r="H161" s="421"/>
      <c r="I161" s="421"/>
      <c r="J161" s="421"/>
      <c r="K161" s="421"/>
      <c r="L161" s="421"/>
      <c r="M161" s="421"/>
      <c r="N161" s="421"/>
      <c r="O161" s="421"/>
      <c r="P161" s="421"/>
      <c r="Q161" s="421"/>
      <c r="R161" s="425"/>
      <c r="S161" s="425"/>
      <c r="T161" s="425"/>
      <c r="U161" s="426"/>
      <c r="V161" s="427"/>
      <c r="Y161" s="421"/>
      <c r="Z161" s="421"/>
    </row>
    <row r="162" spans="2:26" s="422" customFormat="1" x14ac:dyDescent="0.25">
      <c r="B162" s="423"/>
      <c r="C162" s="424"/>
      <c r="D162" s="424"/>
      <c r="E162" s="421"/>
      <c r="F162" s="421"/>
      <c r="G162" s="421"/>
      <c r="H162" s="421"/>
      <c r="I162" s="421"/>
      <c r="J162" s="421"/>
      <c r="K162" s="421"/>
      <c r="L162" s="421"/>
      <c r="M162" s="421"/>
      <c r="N162" s="421"/>
      <c r="O162" s="421"/>
      <c r="P162" s="421"/>
      <c r="Q162" s="421"/>
      <c r="R162" s="425"/>
      <c r="S162" s="425"/>
      <c r="T162" s="425"/>
      <c r="U162" s="426"/>
      <c r="V162" s="427"/>
      <c r="Y162" s="421"/>
      <c r="Z162" s="421"/>
    </row>
    <row r="163" spans="2:26" s="422" customFormat="1" x14ac:dyDescent="0.25">
      <c r="B163" s="423"/>
      <c r="C163" s="424"/>
      <c r="D163" s="424"/>
      <c r="E163" s="421"/>
      <c r="F163" s="421"/>
      <c r="G163" s="421"/>
      <c r="H163" s="421"/>
      <c r="I163" s="421"/>
      <c r="J163" s="421"/>
      <c r="K163" s="421"/>
      <c r="L163" s="421"/>
      <c r="M163" s="421"/>
      <c r="N163" s="421"/>
      <c r="O163" s="421"/>
      <c r="P163" s="421"/>
      <c r="Q163" s="421"/>
      <c r="R163" s="425"/>
      <c r="S163" s="425"/>
      <c r="T163" s="425"/>
      <c r="U163" s="426"/>
      <c r="V163" s="427"/>
      <c r="Y163" s="421"/>
      <c r="Z163" s="421"/>
    </row>
    <row r="164" spans="2:26" s="422" customFormat="1" x14ac:dyDescent="0.25">
      <c r="B164" s="423"/>
      <c r="C164" s="424"/>
      <c r="D164" s="424"/>
      <c r="E164" s="421"/>
      <c r="F164" s="421"/>
      <c r="G164" s="421"/>
      <c r="H164" s="421"/>
      <c r="I164" s="421"/>
      <c r="J164" s="421"/>
      <c r="K164" s="421"/>
      <c r="L164" s="421"/>
      <c r="M164" s="421"/>
      <c r="N164" s="421"/>
      <c r="O164" s="421"/>
      <c r="P164" s="421"/>
      <c r="Q164" s="421"/>
      <c r="R164" s="425"/>
      <c r="S164" s="425"/>
      <c r="T164" s="425"/>
      <c r="U164" s="426"/>
      <c r="V164" s="427"/>
      <c r="Y164" s="421"/>
      <c r="Z164" s="421"/>
    </row>
    <row r="165" spans="2:26" s="422" customFormat="1" x14ac:dyDescent="0.25">
      <c r="B165" s="423"/>
      <c r="C165" s="424"/>
      <c r="D165" s="424"/>
      <c r="E165" s="421"/>
      <c r="F165" s="421"/>
      <c r="G165" s="421"/>
      <c r="H165" s="421"/>
      <c r="I165" s="421"/>
      <c r="J165" s="421"/>
      <c r="K165" s="421"/>
      <c r="L165" s="421"/>
      <c r="M165" s="421"/>
      <c r="N165" s="421"/>
      <c r="O165" s="421"/>
      <c r="P165" s="421"/>
      <c r="Q165" s="421"/>
      <c r="R165" s="425"/>
      <c r="S165" s="425"/>
      <c r="T165" s="425"/>
      <c r="U165" s="426"/>
      <c r="V165" s="427"/>
      <c r="Y165" s="421"/>
      <c r="Z165" s="421"/>
    </row>
    <row r="166" spans="2:26" s="422" customFormat="1" x14ac:dyDescent="0.25">
      <c r="B166" s="423"/>
      <c r="C166" s="424"/>
      <c r="D166" s="424"/>
      <c r="E166" s="421"/>
      <c r="F166" s="421"/>
      <c r="G166" s="421"/>
      <c r="H166" s="421"/>
      <c r="I166" s="421"/>
      <c r="J166" s="421"/>
      <c r="K166" s="421"/>
      <c r="L166" s="421"/>
      <c r="M166" s="421"/>
      <c r="N166" s="421"/>
      <c r="O166" s="421"/>
      <c r="P166" s="421"/>
      <c r="Q166" s="421"/>
      <c r="R166" s="425"/>
      <c r="S166" s="425"/>
      <c r="T166" s="425"/>
      <c r="U166" s="426"/>
      <c r="V166" s="427"/>
      <c r="Y166" s="421"/>
      <c r="Z166" s="421"/>
    </row>
    <row r="167" spans="2:26" s="422" customFormat="1" x14ac:dyDescent="0.25">
      <c r="B167" s="423"/>
      <c r="C167" s="424"/>
      <c r="D167" s="424"/>
      <c r="E167" s="421"/>
      <c r="F167" s="421"/>
      <c r="G167" s="421"/>
      <c r="H167" s="421"/>
      <c r="I167" s="421"/>
      <c r="J167" s="421"/>
      <c r="K167" s="421"/>
      <c r="L167" s="421"/>
      <c r="M167" s="421"/>
      <c r="N167" s="421"/>
      <c r="O167" s="421"/>
      <c r="P167" s="421"/>
      <c r="Q167" s="421"/>
      <c r="R167" s="425"/>
      <c r="S167" s="425"/>
      <c r="T167" s="425"/>
      <c r="U167" s="426"/>
      <c r="V167" s="427"/>
      <c r="Y167" s="421"/>
      <c r="Z167" s="421"/>
    </row>
    <row r="168" spans="2:26" s="422" customFormat="1" x14ac:dyDescent="0.25">
      <c r="B168" s="423"/>
      <c r="C168" s="424"/>
      <c r="D168" s="424"/>
      <c r="E168" s="421"/>
      <c r="F168" s="421"/>
      <c r="G168" s="421"/>
      <c r="H168" s="421"/>
      <c r="I168" s="421"/>
      <c r="J168" s="421"/>
      <c r="K168" s="421"/>
      <c r="L168" s="421"/>
      <c r="M168" s="421"/>
      <c r="N168" s="421"/>
      <c r="O168" s="421"/>
      <c r="P168" s="421"/>
      <c r="Q168" s="421"/>
      <c r="R168" s="425"/>
      <c r="S168" s="425"/>
      <c r="T168" s="425"/>
      <c r="U168" s="426"/>
      <c r="V168" s="427"/>
      <c r="Y168" s="421"/>
      <c r="Z168" s="421"/>
    </row>
    <row r="169" spans="2:26" s="422" customFormat="1" x14ac:dyDescent="0.25">
      <c r="B169" s="423"/>
      <c r="C169" s="424"/>
      <c r="D169" s="424"/>
      <c r="E169" s="421"/>
      <c r="F169" s="421"/>
      <c r="G169" s="421"/>
      <c r="H169" s="421"/>
      <c r="I169" s="421"/>
      <c r="J169" s="421"/>
      <c r="K169" s="421"/>
      <c r="L169" s="421"/>
      <c r="M169" s="421"/>
      <c r="N169" s="421"/>
      <c r="O169" s="421"/>
      <c r="P169" s="421"/>
      <c r="Q169" s="421"/>
      <c r="R169" s="425"/>
      <c r="S169" s="425"/>
      <c r="T169" s="425"/>
      <c r="U169" s="426"/>
      <c r="V169" s="427"/>
      <c r="Y169" s="421"/>
      <c r="Z169" s="421"/>
    </row>
    <row r="170" spans="2:26" s="422" customFormat="1" x14ac:dyDescent="0.25">
      <c r="B170" s="423"/>
      <c r="C170" s="424"/>
      <c r="D170" s="424"/>
      <c r="E170" s="421"/>
      <c r="F170" s="421"/>
      <c r="G170" s="421"/>
      <c r="H170" s="421"/>
      <c r="I170" s="421"/>
      <c r="J170" s="421"/>
      <c r="K170" s="421"/>
      <c r="L170" s="421"/>
      <c r="M170" s="421"/>
      <c r="N170" s="421"/>
      <c r="O170" s="421"/>
      <c r="P170" s="421"/>
      <c r="Q170" s="421"/>
      <c r="R170" s="425"/>
      <c r="S170" s="425"/>
      <c r="T170" s="425"/>
      <c r="U170" s="426"/>
      <c r="V170" s="427"/>
      <c r="Y170" s="421"/>
      <c r="Z170" s="421"/>
    </row>
    <row r="171" spans="2:26" s="422" customFormat="1" x14ac:dyDescent="0.25">
      <c r="B171" s="423"/>
      <c r="C171" s="424"/>
      <c r="D171" s="424"/>
      <c r="E171" s="421"/>
      <c r="F171" s="421"/>
      <c r="G171" s="421"/>
      <c r="H171" s="421"/>
      <c r="I171" s="421"/>
      <c r="J171" s="421"/>
      <c r="K171" s="421"/>
      <c r="L171" s="421"/>
      <c r="M171" s="421"/>
      <c r="N171" s="421"/>
      <c r="O171" s="421"/>
      <c r="P171" s="421"/>
      <c r="Q171" s="421"/>
      <c r="R171" s="425"/>
      <c r="S171" s="425"/>
      <c r="T171" s="425"/>
      <c r="U171" s="426"/>
      <c r="V171" s="427"/>
      <c r="Y171" s="421"/>
      <c r="Z171" s="421"/>
    </row>
    <row r="172" spans="2:26" s="422" customFormat="1" x14ac:dyDescent="0.25">
      <c r="B172" s="423"/>
      <c r="C172" s="424"/>
      <c r="D172" s="424"/>
      <c r="E172" s="421"/>
      <c r="F172" s="421"/>
      <c r="G172" s="421"/>
      <c r="H172" s="421"/>
      <c r="I172" s="421"/>
      <c r="J172" s="421"/>
      <c r="K172" s="421"/>
      <c r="L172" s="421"/>
      <c r="M172" s="421"/>
      <c r="N172" s="421"/>
      <c r="O172" s="421"/>
      <c r="P172" s="421"/>
      <c r="Q172" s="421"/>
      <c r="R172" s="425"/>
      <c r="S172" s="425"/>
      <c r="T172" s="425"/>
      <c r="U172" s="426"/>
      <c r="V172" s="427"/>
      <c r="Y172" s="421"/>
      <c r="Z172" s="421"/>
    </row>
    <row r="173" spans="2:26" s="422" customFormat="1" x14ac:dyDescent="0.25">
      <c r="B173" s="423"/>
      <c r="C173" s="424"/>
      <c r="D173" s="424"/>
      <c r="E173" s="421"/>
      <c r="F173" s="421"/>
      <c r="G173" s="421"/>
      <c r="H173" s="421"/>
      <c r="I173" s="421"/>
      <c r="J173" s="421"/>
      <c r="K173" s="421"/>
      <c r="L173" s="421"/>
      <c r="M173" s="421"/>
      <c r="N173" s="421"/>
      <c r="O173" s="421"/>
      <c r="P173" s="421"/>
      <c r="Q173" s="421"/>
      <c r="R173" s="425"/>
      <c r="S173" s="425"/>
      <c r="T173" s="425"/>
      <c r="U173" s="426"/>
      <c r="V173" s="427"/>
      <c r="Y173" s="421"/>
      <c r="Z173" s="421"/>
    </row>
    <row r="174" spans="2:26" s="422" customFormat="1" x14ac:dyDescent="0.25">
      <c r="B174" s="423"/>
      <c r="C174" s="424"/>
      <c r="D174" s="424"/>
      <c r="E174" s="421"/>
      <c r="F174" s="421"/>
      <c r="G174" s="421"/>
      <c r="H174" s="421"/>
      <c r="I174" s="421"/>
      <c r="J174" s="421"/>
      <c r="K174" s="421"/>
      <c r="L174" s="421"/>
      <c r="M174" s="421"/>
      <c r="N174" s="421"/>
      <c r="O174" s="421"/>
      <c r="P174" s="421"/>
      <c r="Q174" s="421"/>
      <c r="R174" s="425"/>
      <c r="S174" s="425"/>
      <c r="T174" s="425"/>
      <c r="U174" s="426"/>
      <c r="V174" s="427"/>
      <c r="Y174" s="421"/>
      <c r="Z174" s="421"/>
    </row>
    <row r="175" spans="2:26" s="422" customFormat="1" x14ac:dyDescent="0.25">
      <c r="B175" s="423"/>
      <c r="C175" s="424"/>
      <c r="D175" s="424"/>
      <c r="E175" s="421"/>
      <c r="F175" s="421"/>
      <c r="G175" s="421"/>
      <c r="H175" s="421"/>
      <c r="I175" s="421"/>
      <c r="J175" s="421"/>
      <c r="K175" s="421"/>
      <c r="L175" s="421"/>
      <c r="M175" s="421"/>
      <c r="N175" s="421"/>
      <c r="O175" s="421"/>
      <c r="P175" s="421"/>
      <c r="Q175" s="421"/>
      <c r="R175" s="425"/>
      <c r="S175" s="425"/>
      <c r="T175" s="425"/>
      <c r="U175" s="426"/>
      <c r="V175" s="427"/>
      <c r="Y175" s="421"/>
      <c r="Z175" s="421"/>
    </row>
    <row r="176" spans="2:26" s="422" customFormat="1" x14ac:dyDescent="0.25">
      <c r="B176" s="423"/>
      <c r="C176" s="424"/>
      <c r="D176" s="424"/>
      <c r="E176" s="421"/>
      <c r="F176" s="421"/>
      <c r="G176" s="421"/>
      <c r="H176" s="421"/>
      <c r="I176" s="421"/>
      <c r="J176" s="421"/>
      <c r="K176" s="421"/>
      <c r="L176" s="421"/>
      <c r="M176" s="421"/>
      <c r="N176" s="421"/>
      <c r="O176" s="421"/>
      <c r="P176" s="421"/>
      <c r="Q176" s="421"/>
      <c r="R176" s="425"/>
      <c r="S176" s="425"/>
      <c r="T176" s="425"/>
      <c r="U176" s="426"/>
      <c r="V176" s="427"/>
      <c r="Y176" s="421"/>
      <c r="Z176" s="421"/>
    </row>
    <row r="177" spans="2:26" s="422" customFormat="1" x14ac:dyDescent="0.25">
      <c r="B177" s="423"/>
      <c r="C177" s="424"/>
      <c r="D177" s="424"/>
      <c r="E177" s="421"/>
      <c r="F177" s="421"/>
      <c r="G177" s="421"/>
      <c r="H177" s="421"/>
      <c r="I177" s="421"/>
      <c r="J177" s="421"/>
      <c r="K177" s="421"/>
      <c r="L177" s="421"/>
      <c r="M177" s="421"/>
      <c r="N177" s="421"/>
      <c r="O177" s="421"/>
      <c r="P177" s="421"/>
      <c r="Q177" s="421"/>
      <c r="R177" s="425"/>
      <c r="S177" s="425"/>
      <c r="T177" s="425"/>
      <c r="U177" s="426"/>
      <c r="V177" s="427"/>
      <c r="Y177" s="421"/>
      <c r="Z177" s="421"/>
    </row>
    <row r="178" spans="2:26" s="422" customFormat="1" x14ac:dyDescent="0.25">
      <c r="B178" s="423"/>
      <c r="C178" s="424"/>
      <c r="D178" s="424"/>
      <c r="E178" s="421"/>
      <c r="F178" s="421"/>
      <c r="G178" s="421"/>
      <c r="H178" s="421"/>
      <c r="I178" s="421"/>
      <c r="J178" s="421"/>
      <c r="K178" s="421"/>
      <c r="L178" s="421"/>
      <c r="M178" s="421"/>
      <c r="N178" s="421"/>
      <c r="O178" s="421"/>
      <c r="P178" s="421"/>
      <c r="Q178" s="421"/>
      <c r="R178" s="425"/>
      <c r="S178" s="425"/>
      <c r="T178" s="425"/>
      <c r="U178" s="426"/>
      <c r="V178" s="427"/>
      <c r="Y178" s="421"/>
      <c r="Z178" s="421"/>
    </row>
    <row r="179" spans="2:26" s="422" customFormat="1" x14ac:dyDescent="0.25">
      <c r="B179" s="423"/>
      <c r="C179" s="424"/>
      <c r="D179" s="424"/>
      <c r="E179" s="421"/>
      <c r="F179" s="421"/>
      <c r="G179" s="421"/>
      <c r="H179" s="421"/>
      <c r="I179" s="421"/>
      <c r="J179" s="421"/>
      <c r="K179" s="421"/>
      <c r="L179" s="421"/>
      <c r="M179" s="421"/>
      <c r="N179" s="421"/>
      <c r="O179" s="421"/>
      <c r="P179" s="421"/>
      <c r="Q179" s="421"/>
      <c r="R179" s="425"/>
      <c r="S179" s="425"/>
      <c r="T179" s="425"/>
      <c r="U179" s="426"/>
      <c r="V179" s="427"/>
      <c r="Y179" s="421"/>
      <c r="Z179" s="421"/>
    </row>
    <row r="180" spans="2:26" s="422" customFormat="1" x14ac:dyDescent="0.25">
      <c r="B180" s="423"/>
      <c r="C180" s="424"/>
      <c r="D180" s="424"/>
      <c r="E180" s="421"/>
      <c r="F180" s="421"/>
      <c r="G180" s="421"/>
      <c r="H180" s="421"/>
      <c r="I180" s="421"/>
      <c r="J180" s="421"/>
      <c r="K180" s="421"/>
      <c r="L180" s="421"/>
      <c r="M180" s="421"/>
      <c r="N180" s="421"/>
      <c r="O180" s="421"/>
      <c r="P180" s="421"/>
      <c r="Q180" s="421"/>
      <c r="R180" s="425"/>
      <c r="S180" s="425"/>
      <c r="T180" s="425"/>
      <c r="U180" s="426"/>
      <c r="V180" s="427"/>
      <c r="Y180" s="421"/>
      <c r="Z180" s="421"/>
    </row>
    <row r="181" spans="2:26" s="422" customFormat="1" x14ac:dyDescent="0.25">
      <c r="B181" s="423"/>
      <c r="C181" s="424"/>
      <c r="D181" s="424"/>
      <c r="E181" s="421"/>
      <c r="F181" s="421"/>
      <c r="G181" s="421"/>
      <c r="H181" s="421"/>
      <c r="I181" s="421"/>
      <c r="J181" s="421"/>
      <c r="K181" s="421"/>
      <c r="L181" s="421"/>
      <c r="M181" s="421"/>
      <c r="N181" s="421"/>
      <c r="O181" s="421"/>
      <c r="P181" s="421"/>
      <c r="Q181" s="421"/>
      <c r="R181" s="425"/>
      <c r="S181" s="425"/>
      <c r="T181" s="425"/>
      <c r="U181" s="426"/>
      <c r="V181" s="427"/>
      <c r="Y181" s="421"/>
      <c r="Z181" s="421"/>
    </row>
    <row r="182" spans="2:26" s="422" customFormat="1" x14ac:dyDescent="0.25">
      <c r="B182" s="423"/>
      <c r="C182" s="424"/>
      <c r="D182" s="424"/>
      <c r="E182" s="421"/>
      <c r="F182" s="421"/>
      <c r="G182" s="421"/>
      <c r="H182" s="421"/>
      <c r="I182" s="421"/>
      <c r="J182" s="421"/>
      <c r="K182" s="421"/>
      <c r="L182" s="421"/>
      <c r="M182" s="421"/>
      <c r="N182" s="421"/>
      <c r="O182" s="421"/>
      <c r="P182" s="421"/>
      <c r="Q182" s="421"/>
      <c r="R182" s="425"/>
      <c r="S182" s="425"/>
      <c r="T182" s="425"/>
      <c r="U182" s="426"/>
      <c r="V182" s="427"/>
      <c r="Y182" s="421"/>
      <c r="Z182" s="421"/>
    </row>
    <row r="183" spans="2:26" s="422" customFormat="1" x14ac:dyDescent="0.25">
      <c r="B183" s="423"/>
      <c r="C183" s="424"/>
      <c r="D183" s="424"/>
      <c r="E183" s="421"/>
      <c r="F183" s="421"/>
      <c r="G183" s="421"/>
      <c r="H183" s="421"/>
      <c r="I183" s="421"/>
      <c r="J183" s="421"/>
      <c r="K183" s="421"/>
      <c r="L183" s="421"/>
      <c r="M183" s="421"/>
      <c r="N183" s="421"/>
      <c r="O183" s="421"/>
      <c r="P183" s="421"/>
      <c r="Q183" s="421"/>
      <c r="R183" s="425"/>
      <c r="S183" s="425"/>
      <c r="T183" s="425"/>
      <c r="U183" s="426"/>
      <c r="V183" s="427"/>
      <c r="Y183" s="421"/>
      <c r="Z183" s="421"/>
    </row>
    <row r="184" spans="2:26" s="422" customFormat="1" x14ac:dyDescent="0.25">
      <c r="B184" s="423"/>
      <c r="C184" s="424"/>
      <c r="D184" s="424"/>
      <c r="E184" s="421"/>
      <c r="F184" s="421"/>
      <c r="G184" s="421"/>
      <c r="H184" s="421"/>
      <c r="I184" s="421"/>
      <c r="J184" s="421"/>
      <c r="K184" s="421"/>
      <c r="L184" s="421"/>
      <c r="M184" s="421"/>
      <c r="N184" s="421"/>
      <c r="O184" s="421"/>
      <c r="P184" s="421"/>
      <c r="Q184" s="421"/>
      <c r="R184" s="425"/>
      <c r="S184" s="425"/>
      <c r="T184" s="425"/>
      <c r="U184" s="426"/>
      <c r="V184" s="427"/>
      <c r="Y184" s="421"/>
      <c r="Z184" s="421"/>
    </row>
    <row r="185" spans="2:26" s="422" customFormat="1" x14ac:dyDescent="0.25">
      <c r="B185" s="423"/>
      <c r="C185" s="424"/>
      <c r="D185" s="424"/>
      <c r="E185" s="421"/>
      <c r="F185" s="421"/>
      <c r="G185" s="421"/>
      <c r="H185" s="421"/>
      <c r="I185" s="421"/>
      <c r="J185" s="421"/>
      <c r="K185" s="421"/>
      <c r="L185" s="421"/>
      <c r="M185" s="421"/>
      <c r="N185" s="421"/>
      <c r="O185" s="421"/>
      <c r="P185" s="421"/>
      <c r="Q185" s="421"/>
      <c r="R185" s="425"/>
      <c r="S185" s="425"/>
      <c r="T185" s="425"/>
      <c r="U185" s="426"/>
      <c r="V185" s="427"/>
      <c r="Y185" s="421"/>
      <c r="Z185" s="421"/>
    </row>
    <row r="186" spans="2:26" s="422" customFormat="1" x14ac:dyDescent="0.25">
      <c r="B186" s="423"/>
      <c r="C186" s="424"/>
      <c r="D186" s="424"/>
      <c r="E186" s="421"/>
      <c r="F186" s="421"/>
      <c r="G186" s="421"/>
      <c r="H186" s="421"/>
      <c r="I186" s="421"/>
      <c r="J186" s="421"/>
      <c r="K186" s="421"/>
      <c r="L186" s="421"/>
      <c r="M186" s="421"/>
      <c r="N186" s="421"/>
      <c r="O186" s="421"/>
      <c r="P186" s="421"/>
      <c r="Q186" s="421"/>
      <c r="R186" s="425"/>
      <c r="S186" s="425"/>
      <c r="T186" s="425"/>
      <c r="U186" s="426"/>
      <c r="V186" s="427"/>
      <c r="Y186" s="421"/>
      <c r="Z186" s="421"/>
    </row>
    <row r="187" spans="2:26" s="422" customFormat="1" x14ac:dyDescent="0.25">
      <c r="B187" s="423"/>
      <c r="C187" s="424"/>
      <c r="D187" s="424"/>
      <c r="E187" s="421"/>
      <c r="F187" s="421"/>
      <c r="G187" s="421"/>
      <c r="H187" s="421"/>
      <c r="I187" s="421"/>
      <c r="J187" s="421"/>
      <c r="K187" s="421"/>
      <c r="L187" s="421"/>
      <c r="M187" s="421"/>
      <c r="N187" s="421"/>
      <c r="O187" s="421"/>
      <c r="P187" s="421"/>
      <c r="Q187" s="421"/>
      <c r="R187" s="425"/>
      <c r="S187" s="425"/>
      <c r="T187" s="425"/>
      <c r="U187" s="426"/>
      <c r="V187" s="427"/>
      <c r="Y187" s="421"/>
      <c r="Z187" s="421"/>
    </row>
    <row r="188" spans="2:26" s="422" customFormat="1" x14ac:dyDescent="0.25">
      <c r="B188" s="423"/>
      <c r="C188" s="424"/>
      <c r="D188" s="424"/>
      <c r="E188" s="421"/>
      <c r="F188" s="421"/>
      <c r="G188" s="421"/>
      <c r="H188" s="421"/>
      <c r="I188" s="421"/>
      <c r="J188" s="421"/>
      <c r="K188" s="421"/>
      <c r="L188" s="421"/>
      <c r="M188" s="421"/>
      <c r="N188" s="421"/>
      <c r="O188" s="421"/>
      <c r="P188" s="421"/>
      <c r="Q188" s="421"/>
      <c r="R188" s="425"/>
      <c r="S188" s="425"/>
      <c r="T188" s="425"/>
      <c r="U188" s="426"/>
      <c r="V188" s="427"/>
      <c r="Y188" s="421"/>
      <c r="Z188" s="421"/>
    </row>
    <row r="189" spans="2:26" s="422" customFormat="1" x14ac:dyDescent="0.25">
      <c r="B189" s="423"/>
      <c r="C189" s="424"/>
      <c r="D189" s="424"/>
      <c r="E189" s="421"/>
      <c r="F189" s="421"/>
      <c r="G189" s="421"/>
      <c r="H189" s="421"/>
      <c r="I189" s="421"/>
      <c r="J189" s="421"/>
      <c r="K189" s="421"/>
      <c r="L189" s="421"/>
      <c r="M189" s="421"/>
      <c r="N189" s="421"/>
      <c r="O189" s="421"/>
      <c r="P189" s="421"/>
      <c r="Q189" s="421"/>
      <c r="R189" s="425"/>
      <c r="S189" s="425"/>
      <c r="T189" s="425"/>
      <c r="U189" s="426"/>
      <c r="V189" s="427"/>
      <c r="Y189" s="421"/>
      <c r="Z189" s="421"/>
    </row>
    <row r="190" spans="2:26" s="422" customFormat="1" x14ac:dyDescent="0.25">
      <c r="B190" s="423"/>
      <c r="C190" s="424"/>
      <c r="D190" s="424"/>
      <c r="E190" s="421"/>
      <c r="F190" s="421"/>
      <c r="G190" s="421"/>
      <c r="H190" s="421"/>
      <c r="I190" s="421"/>
      <c r="J190" s="421"/>
      <c r="K190" s="421"/>
      <c r="L190" s="421"/>
      <c r="M190" s="421"/>
      <c r="N190" s="421"/>
      <c r="O190" s="421"/>
      <c r="P190" s="421"/>
      <c r="Q190" s="421"/>
      <c r="R190" s="425"/>
      <c r="S190" s="425"/>
      <c r="T190" s="425"/>
      <c r="U190" s="426"/>
      <c r="V190" s="427"/>
      <c r="Y190" s="421"/>
      <c r="Z190" s="421"/>
    </row>
    <row r="191" spans="2:26" s="422" customFormat="1" x14ac:dyDescent="0.25">
      <c r="B191" s="423"/>
      <c r="C191" s="424"/>
      <c r="D191" s="424"/>
      <c r="E191" s="421"/>
      <c r="F191" s="421"/>
      <c r="G191" s="421"/>
      <c r="H191" s="421"/>
      <c r="I191" s="421"/>
      <c r="J191" s="421"/>
      <c r="K191" s="421"/>
      <c r="L191" s="421"/>
      <c r="M191" s="421"/>
      <c r="N191" s="421"/>
      <c r="O191" s="421"/>
      <c r="P191" s="421"/>
      <c r="Q191" s="421"/>
      <c r="R191" s="425"/>
      <c r="S191" s="425"/>
      <c r="T191" s="425"/>
      <c r="U191" s="426"/>
      <c r="V191" s="427"/>
      <c r="Y191" s="421"/>
      <c r="Z191" s="421"/>
    </row>
    <row r="192" spans="2:26" s="422" customFormat="1" x14ac:dyDescent="0.25">
      <c r="B192" s="423"/>
      <c r="C192" s="424"/>
      <c r="D192" s="424"/>
      <c r="E192" s="421"/>
      <c r="F192" s="421"/>
      <c r="G192" s="421"/>
      <c r="H192" s="421"/>
      <c r="I192" s="421"/>
      <c r="J192" s="421"/>
      <c r="K192" s="421"/>
      <c r="L192" s="421"/>
      <c r="M192" s="421"/>
      <c r="N192" s="421"/>
      <c r="O192" s="421"/>
      <c r="P192" s="421"/>
      <c r="Q192" s="421"/>
      <c r="R192" s="425"/>
      <c r="S192" s="425"/>
      <c r="T192" s="425"/>
      <c r="U192" s="426"/>
      <c r="V192" s="427"/>
      <c r="Y192" s="421"/>
      <c r="Z192" s="421"/>
    </row>
    <row r="193" spans="2:26" s="422" customFormat="1" x14ac:dyDescent="0.25">
      <c r="B193" s="423"/>
      <c r="C193" s="424"/>
      <c r="D193" s="424"/>
      <c r="E193" s="421"/>
      <c r="F193" s="421"/>
      <c r="G193" s="421"/>
      <c r="H193" s="421"/>
      <c r="I193" s="421"/>
      <c r="J193" s="421"/>
      <c r="K193" s="421"/>
      <c r="L193" s="421"/>
      <c r="M193" s="421"/>
      <c r="N193" s="421"/>
      <c r="O193" s="421"/>
      <c r="P193" s="421"/>
      <c r="Q193" s="421"/>
      <c r="R193" s="425"/>
      <c r="S193" s="425"/>
      <c r="T193" s="425"/>
      <c r="U193" s="426"/>
      <c r="V193" s="427"/>
      <c r="Y193" s="421"/>
      <c r="Z193" s="421"/>
    </row>
    <row r="194" spans="2:26" s="422" customFormat="1" x14ac:dyDescent="0.25">
      <c r="B194" s="423"/>
      <c r="C194" s="424"/>
      <c r="D194" s="424"/>
      <c r="E194" s="421"/>
      <c r="F194" s="421"/>
      <c r="G194" s="421"/>
      <c r="H194" s="421"/>
      <c r="I194" s="421"/>
      <c r="J194" s="421"/>
      <c r="K194" s="421"/>
      <c r="L194" s="421"/>
      <c r="M194" s="421"/>
      <c r="N194" s="421"/>
      <c r="O194" s="421"/>
      <c r="P194" s="421"/>
      <c r="Q194" s="421"/>
      <c r="R194" s="425"/>
      <c r="S194" s="425"/>
      <c r="T194" s="425"/>
      <c r="U194" s="426"/>
      <c r="V194" s="427"/>
      <c r="Y194" s="421"/>
      <c r="Z194" s="421"/>
    </row>
    <row r="195" spans="2:26" s="422" customFormat="1" x14ac:dyDescent="0.25">
      <c r="B195" s="423"/>
      <c r="C195" s="424"/>
      <c r="D195" s="424"/>
      <c r="E195" s="421"/>
      <c r="F195" s="421"/>
      <c r="G195" s="421"/>
      <c r="H195" s="421"/>
      <c r="I195" s="421"/>
      <c r="J195" s="421"/>
      <c r="K195" s="421"/>
      <c r="L195" s="421"/>
      <c r="M195" s="421"/>
      <c r="N195" s="421"/>
      <c r="O195" s="421"/>
      <c r="P195" s="421"/>
      <c r="Q195" s="421"/>
      <c r="R195" s="425"/>
      <c r="S195" s="425"/>
      <c r="T195" s="425"/>
      <c r="U195" s="426"/>
      <c r="V195" s="427"/>
      <c r="Y195" s="421"/>
      <c r="Z195" s="421"/>
    </row>
    <row r="196" spans="2:26" s="422" customFormat="1" x14ac:dyDescent="0.25">
      <c r="B196" s="423"/>
      <c r="C196" s="424"/>
      <c r="D196" s="424"/>
      <c r="E196" s="421"/>
      <c r="F196" s="421"/>
      <c r="G196" s="421"/>
      <c r="H196" s="421"/>
      <c r="I196" s="421"/>
      <c r="J196" s="421"/>
      <c r="K196" s="421"/>
      <c r="L196" s="421"/>
      <c r="M196" s="421"/>
      <c r="N196" s="421"/>
      <c r="O196" s="421"/>
      <c r="P196" s="421"/>
      <c r="Q196" s="421"/>
      <c r="R196" s="425"/>
      <c r="S196" s="425"/>
      <c r="T196" s="425"/>
      <c r="U196" s="426"/>
      <c r="V196" s="427"/>
      <c r="Y196" s="421"/>
      <c r="Z196" s="421"/>
    </row>
    <row r="197" spans="2:26" s="422" customFormat="1" x14ac:dyDescent="0.25">
      <c r="B197" s="423"/>
      <c r="C197" s="424"/>
      <c r="D197" s="424"/>
      <c r="E197" s="421"/>
      <c r="F197" s="421"/>
      <c r="G197" s="421"/>
      <c r="H197" s="421"/>
      <c r="I197" s="421"/>
      <c r="J197" s="421"/>
      <c r="K197" s="421"/>
      <c r="L197" s="421"/>
      <c r="M197" s="421"/>
      <c r="N197" s="421"/>
      <c r="O197" s="421"/>
      <c r="P197" s="421"/>
      <c r="Q197" s="421"/>
      <c r="R197" s="425"/>
      <c r="S197" s="425"/>
      <c r="T197" s="425"/>
      <c r="U197" s="426"/>
      <c r="V197" s="427"/>
      <c r="Y197" s="421"/>
      <c r="Z197" s="421"/>
    </row>
    <row r="198" spans="2:26" s="422" customFormat="1" x14ac:dyDescent="0.25">
      <c r="B198" s="423"/>
      <c r="C198" s="424"/>
      <c r="D198" s="424"/>
      <c r="E198" s="421"/>
      <c r="F198" s="421"/>
      <c r="G198" s="421"/>
      <c r="H198" s="421"/>
      <c r="I198" s="421"/>
      <c r="J198" s="421"/>
      <c r="K198" s="421"/>
      <c r="L198" s="421"/>
      <c r="M198" s="421"/>
      <c r="N198" s="421"/>
      <c r="O198" s="421"/>
      <c r="P198" s="421"/>
      <c r="Q198" s="421"/>
      <c r="R198" s="425"/>
      <c r="S198" s="425"/>
      <c r="T198" s="425"/>
      <c r="U198" s="426"/>
      <c r="V198" s="427"/>
      <c r="Y198" s="421"/>
      <c r="Z198" s="421"/>
    </row>
    <row r="199" spans="2:26" s="422" customFormat="1" x14ac:dyDescent="0.25">
      <c r="B199" s="423"/>
      <c r="C199" s="424"/>
      <c r="D199" s="424"/>
      <c r="E199" s="421"/>
      <c r="F199" s="421"/>
      <c r="G199" s="421"/>
      <c r="H199" s="421"/>
      <c r="I199" s="421"/>
      <c r="J199" s="421"/>
      <c r="K199" s="421"/>
      <c r="L199" s="421"/>
      <c r="M199" s="421"/>
      <c r="N199" s="421"/>
      <c r="O199" s="421"/>
      <c r="P199" s="421"/>
      <c r="Q199" s="421"/>
      <c r="R199" s="425"/>
      <c r="S199" s="425"/>
      <c r="T199" s="425"/>
      <c r="U199" s="426"/>
      <c r="V199" s="427"/>
      <c r="Y199" s="421"/>
      <c r="Z199" s="421"/>
    </row>
    <row r="200" spans="2:26" s="422" customFormat="1" x14ac:dyDescent="0.25">
      <c r="B200" s="423"/>
      <c r="C200" s="424"/>
      <c r="D200" s="424"/>
      <c r="E200" s="421"/>
      <c r="F200" s="421"/>
      <c r="G200" s="421"/>
      <c r="H200" s="421"/>
      <c r="I200" s="421"/>
      <c r="J200" s="421"/>
      <c r="K200" s="421"/>
      <c r="L200" s="421"/>
      <c r="M200" s="421"/>
      <c r="N200" s="421"/>
      <c r="O200" s="421"/>
      <c r="P200" s="421"/>
      <c r="Q200" s="421"/>
      <c r="R200" s="425"/>
      <c r="S200" s="425"/>
      <c r="T200" s="425"/>
      <c r="U200" s="426"/>
      <c r="V200" s="427"/>
      <c r="Y200" s="421"/>
      <c r="Z200" s="421"/>
    </row>
    <row r="201" spans="2:26" s="422" customFormat="1" x14ac:dyDescent="0.25">
      <c r="B201" s="423"/>
      <c r="C201" s="424"/>
      <c r="D201" s="424"/>
      <c r="E201" s="421"/>
      <c r="F201" s="421"/>
      <c r="G201" s="421"/>
      <c r="H201" s="421"/>
      <c r="I201" s="421"/>
      <c r="J201" s="421"/>
      <c r="K201" s="421"/>
      <c r="L201" s="421"/>
      <c r="M201" s="421"/>
      <c r="N201" s="421"/>
      <c r="O201" s="421"/>
      <c r="P201" s="421"/>
      <c r="Q201" s="421"/>
      <c r="R201" s="425"/>
      <c r="S201" s="425"/>
      <c r="T201" s="425"/>
      <c r="U201" s="426"/>
      <c r="V201" s="427"/>
      <c r="Y201" s="421"/>
      <c r="Z201" s="421"/>
    </row>
    <row r="202" spans="2:26" s="422" customFormat="1" x14ac:dyDescent="0.25">
      <c r="B202" s="423"/>
      <c r="C202" s="424"/>
      <c r="D202" s="424"/>
      <c r="E202" s="421"/>
      <c r="F202" s="421"/>
      <c r="G202" s="421"/>
      <c r="H202" s="421"/>
      <c r="I202" s="421"/>
      <c r="J202" s="421"/>
      <c r="K202" s="421"/>
      <c r="L202" s="421"/>
      <c r="M202" s="421"/>
      <c r="N202" s="421"/>
      <c r="O202" s="421"/>
      <c r="P202" s="421"/>
      <c r="Q202" s="421"/>
      <c r="R202" s="425"/>
      <c r="S202" s="425"/>
      <c r="T202" s="425"/>
      <c r="U202" s="426"/>
      <c r="V202" s="427"/>
      <c r="Y202" s="421"/>
      <c r="Z202" s="421"/>
    </row>
    <row r="203" spans="2:26" s="422" customFormat="1" x14ac:dyDescent="0.25">
      <c r="B203" s="423"/>
      <c r="C203" s="424"/>
      <c r="D203" s="424"/>
      <c r="E203" s="421"/>
      <c r="F203" s="421"/>
      <c r="G203" s="421"/>
      <c r="H203" s="421"/>
      <c r="I203" s="421"/>
      <c r="J203" s="421"/>
      <c r="K203" s="421"/>
      <c r="L203" s="421"/>
      <c r="M203" s="421"/>
      <c r="N203" s="421"/>
      <c r="O203" s="421"/>
      <c r="P203" s="421"/>
      <c r="Q203" s="421"/>
      <c r="R203" s="425"/>
      <c r="S203" s="425"/>
      <c r="T203" s="425"/>
      <c r="U203" s="426"/>
      <c r="V203" s="427"/>
      <c r="Y203" s="421"/>
      <c r="Z203" s="421"/>
    </row>
    <row r="204" spans="2:26" s="422" customFormat="1" x14ac:dyDescent="0.25">
      <c r="B204" s="423"/>
      <c r="C204" s="424"/>
      <c r="D204" s="424"/>
      <c r="E204" s="421"/>
      <c r="F204" s="421"/>
      <c r="G204" s="421"/>
      <c r="H204" s="421"/>
      <c r="I204" s="421"/>
      <c r="J204" s="421"/>
      <c r="K204" s="421"/>
      <c r="L204" s="421"/>
      <c r="M204" s="421"/>
      <c r="N204" s="421"/>
      <c r="O204" s="421"/>
      <c r="P204" s="421"/>
      <c r="Q204" s="421"/>
      <c r="R204" s="425"/>
      <c r="S204" s="425"/>
      <c r="T204" s="425"/>
      <c r="U204" s="426"/>
      <c r="V204" s="427"/>
      <c r="Y204" s="421"/>
      <c r="Z204" s="421"/>
    </row>
    <row r="205" spans="2:26" s="422" customFormat="1" x14ac:dyDescent="0.25">
      <c r="B205" s="423"/>
      <c r="C205" s="424"/>
      <c r="D205" s="424"/>
      <c r="E205" s="421"/>
      <c r="F205" s="421"/>
      <c r="G205" s="421"/>
      <c r="H205" s="421"/>
      <c r="I205" s="421"/>
      <c r="J205" s="421"/>
      <c r="K205" s="421"/>
      <c r="L205" s="421"/>
      <c r="M205" s="421"/>
      <c r="N205" s="421"/>
      <c r="O205" s="421"/>
      <c r="P205" s="421"/>
      <c r="Q205" s="421"/>
      <c r="R205" s="425"/>
      <c r="S205" s="425"/>
      <c r="T205" s="425"/>
      <c r="U205" s="426"/>
      <c r="V205" s="427"/>
      <c r="Y205" s="421"/>
      <c r="Z205" s="421"/>
    </row>
    <row r="206" spans="2:26" s="422" customFormat="1" x14ac:dyDescent="0.25">
      <c r="B206" s="423"/>
      <c r="C206" s="424"/>
      <c r="D206" s="424"/>
      <c r="E206" s="421"/>
      <c r="F206" s="421"/>
      <c r="G206" s="421"/>
      <c r="H206" s="421"/>
      <c r="I206" s="421"/>
      <c r="J206" s="421"/>
      <c r="K206" s="421"/>
      <c r="L206" s="421"/>
      <c r="M206" s="421"/>
      <c r="N206" s="421"/>
      <c r="O206" s="421"/>
      <c r="P206" s="421"/>
      <c r="Q206" s="421"/>
      <c r="R206" s="425"/>
      <c r="S206" s="425"/>
      <c r="T206" s="425"/>
      <c r="U206" s="426"/>
      <c r="V206" s="427"/>
      <c r="Y206" s="421"/>
      <c r="Z206" s="421"/>
    </row>
    <row r="207" spans="2:26" s="422" customFormat="1" x14ac:dyDescent="0.25">
      <c r="B207" s="423"/>
      <c r="C207" s="424"/>
      <c r="D207" s="424"/>
      <c r="E207" s="421"/>
      <c r="F207" s="421"/>
      <c r="G207" s="421"/>
      <c r="H207" s="421"/>
      <c r="I207" s="421"/>
      <c r="J207" s="421"/>
      <c r="K207" s="421"/>
      <c r="L207" s="421"/>
      <c r="M207" s="421"/>
      <c r="N207" s="421"/>
      <c r="O207" s="421"/>
      <c r="P207" s="421"/>
      <c r="Q207" s="421"/>
      <c r="R207" s="425"/>
      <c r="S207" s="425"/>
      <c r="T207" s="425"/>
      <c r="U207" s="426"/>
      <c r="V207" s="427"/>
      <c r="Y207" s="421"/>
      <c r="Z207" s="421"/>
    </row>
    <row r="208" spans="2:26" s="422" customFormat="1" x14ac:dyDescent="0.25">
      <c r="B208" s="423"/>
      <c r="C208" s="424"/>
      <c r="D208" s="424"/>
      <c r="E208" s="421"/>
      <c r="F208" s="421"/>
      <c r="G208" s="421"/>
      <c r="H208" s="421"/>
      <c r="I208" s="421"/>
      <c r="J208" s="421"/>
      <c r="K208" s="421"/>
      <c r="L208" s="421"/>
      <c r="M208" s="421"/>
      <c r="N208" s="421"/>
      <c r="O208" s="421"/>
      <c r="P208" s="421"/>
      <c r="Q208" s="421"/>
      <c r="R208" s="425"/>
      <c r="S208" s="425"/>
      <c r="T208" s="425"/>
      <c r="U208" s="426"/>
      <c r="V208" s="427"/>
      <c r="Y208" s="421"/>
      <c r="Z208" s="421"/>
    </row>
    <row r="209" spans="2:26" s="422" customFormat="1" x14ac:dyDescent="0.25">
      <c r="B209" s="423"/>
      <c r="C209" s="424"/>
      <c r="D209" s="424"/>
      <c r="E209" s="421"/>
      <c r="F209" s="421"/>
      <c r="G209" s="421"/>
      <c r="H209" s="421"/>
      <c r="I209" s="421"/>
      <c r="J209" s="421"/>
      <c r="K209" s="421"/>
      <c r="L209" s="421"/>
      <c r="M209" s="421"/>
      <c r="N209" s="421"/>
      <c r="O209" s="421"/>
      <c r="P209" s="421"/>
      <c r="Q209" s="421"/>
      <c r="R209" s="425"/>
      <c r="S209" s="425"/>
      <c r="T209" s="425"/>
      <c r="U209" s="426"/>
      <c r="V209" s="427"/>
      <c r="Y209" s="421"/>
      <c r="Z209" s="421"/>
    </row>
    <row r="210" spans="2:26" s="422" customFormat="1" x14ac:dyDescent="0.25">
      <c r="B210" s="423"/>
      <c r="C210" s="424"/>
      <c r="D210" s="424"/>
      <c r="E210" s="421"/>
      <c r="F210" s="421"/>
      <c r="G210" s="421"/>
      <c r="H210" s="421"/>
      <c r="I210" s="421"/>
      <c r="J210" s="421"/>
      <c r="K210" s="421"/>
      <c r="L210" s="421"/>
      <c r="M210" s="421"/>
      <c r="N210" s="421"/>
      <c r="O210" s="421"/>
      <c r="P210" s="421"/>
      <c r="Q210" s="421"/>
      <c r="R210" s="425"/>
      <c r="S210" s="425"/>
      <c r="T210" s="425"/>
      <c r="U210" s="426"/>
      <c r="V210" s="427"/>
      <c r="Y210" s="421"/>
      <c r="Z210" s="421"/>
    </row>
    <row r="211" spans="2:26" s="422" customFormat="1" x14ac:dyDescent="0.25">
      <c r="B211" s="423"/>
      <c r="C211" s="424"/>
      <c r="D211" s="424"/>
      <c r="E211" s="421"/>
      <c r="F211" s="421"/>
      <c r="G211" s="421"/>
      <c r="H211" s="421"/>
      <c r="I211" s="421"/>
      <c r="J211" s="421"/>
      <c r="K211" s="421"/>
      <c r="L211" s="421"/>
      <c r="M211" s="421"/>
      <c r="N211" s="421"/>
      <c r="O211" s="421"/>
      <c r="P211" s="421"/>
      <c r="Q211" s="421"/>
      <c r="R211" s="425"/>
      <c r="S211" s="425"/>
      <c r="T211" s="425"/>
      <c r="U211" s="426"/>
      <c r="V211" s="427"/>
      <c r="Y211" s="421"/>
      <c r="Z211" s="421"/>
    </row>
    <row r="212" spans="2:26" s="422" customFormat="1" x14ac:dyDescent="0.25">
      <c r="B212" s="423"/>
      <c r="C212" s="424"/>
      <c r="D212" s="424"/>
      <c r="E212" s="421"/>
      <c r="F212" s="421"/>
      <c r="G212" s="421"/>
      <c r="H212" s="421"/>
      <c r="I212" s="421"/>
      <c r="J212" s="421"/>
      <c r="K212" s="421"/>
      <c r="L212" s="421"/>
      <c r="M212" s="421"/>
      <c r="N212" s="421"/>
      <c r="O212" s="421"/>
      <c r="P212" s="421"/>
      <c r="Q212" s="421"/>
      <c r="R212" s="425"/>
      <c r="S212" s="425"/>
      <c r="T212" s="425"/>
      <c r="U212" s="426"/>
      <c r="V212" s="427"/>
      <c r="Y212" s="421"/>
      <c r="Z212" s="421"/>
    </row>
    <row r="213" spans="2:26" s="422" customFormat="1" x14ac:dyDescent="0.25">
      <c r="B213" s="423"/>
      <c r="C213" s="424"/>
      <c r="D213" s="424"/>
      <c r="E213" s="421"/>
      <c r="F213" s="421"/>
      <c r="G213" s="421"/>
      <c r="H213" s="421"/>
      <c r="I213" s="421"/>
      <c r="J213" s="421"/>
      <c r="K213" s="421"/>
      <c r="L213" s="421"/>
      <c r="M213" s="421"/>
      <c r="N213" s="421"/>
      <c r="O213" s="421"/>
      <c r="P213" s="421"/>
      <c r="Q213" s="421"/>
      <c r="R213" s="425"/>
      <c r="S213" s="425"/>
      <c r="T213" s="425"/>
      <c r="U213" s="426"/>
      <c r="V213" s="427"/>
      <c r="Y213" s="421"/>
      <c r="Z213" s="421"/>
    </row>
    <row r="214" spans="2:26" s="422" customFormat="1" x14ac:dyDescent="0.25">
      <c r="B214" s="423"/>
      <c r="C214" s="424"/>
      <c r="D214" s="424"/>
      <c r="E214" s="421"/>
      <c r="F214" s="421"/>
      <c r="G214" s="421"/>
      <c r="H214" s="421"/>
      <c r="I214" s="421"/>
      <c r="J214" s="421"/>
      <c r="K214" s="421"/>
      <c r="L214" s="421"/>
      <c r="M214" s="421"/>
      <c r="N214" s="421"/>
      <c r="O214" s="421"/>
      <c r="P214" s="421"/>
      <c r="Q214" s="421"/>
      <c r="R214" s="425"/>
      <c r="S214" s="425"/>
      <c r="T214" s="425"/>
      <c r="U214" s="426"/>
      <c r="V214" s="427"/>
      <c r="Y214" s="421"/>
      <c r="Z214" s="421"/>
    </row>
    <row r="215" spans="2:26" s="422" customFormat="1" x14ac:dyDescent="0.25">
      <c r="B215" s="423"/>
      <c r="C215" s="424"/>
      <c r="D215" s="424"/>
      <c r="E215" s="421"/>
      <c r="F215" s="421"/>
      <c r="G215" s="421"/>
      <c r="H215" s="421"/>
      <c r="I215" s="421"/>
      <c r="J215" s="421"/>
      <c r="K215" s="421"/>
      <c r="L215" s="421"/>
      <c r="M215" s="421"/>
      <c r="N215" s="421"/>
      <c r="O215" s="421"/>
      <c r="P215" s="421"/>
      <c r="Q215" s="421"/>
      <c r="R215" s="425"/>
      <c r="S215" s="425"/>
      <c r="T215" s="425"/>
      <c r="U215" s="426"/>
      <c r="V215" s="427"/>
      <c r="Y215" s="421"/>
      <c r="Z215" s="421"/>
    </row>
    <row r="216" spans="2:26" s="422" customFormat="1" x14ac:dyDescent="0.25">
      <c r="B216" s="423"/>
      <c r="C216" s="424"/>
      <c r="D216" s="424"/>
      <c r="E216" s="421"/>
      <c r="F216" s="421"/>
      <c r="G216" s="421"/>
      <c r="H216" s="421"/>
      <c r="I216" s="421"/>
      <c r="J216" s="421"/>
      <c r="K216" s="421"/>
      <c r="L216" s="421"/>
      <c r="M216" s="421"/>
      <c r="N216" s="421"/>
      <c r="O216" s="421"/>
      <c r="P216" s="421"/>
      <c r="Q216" s="421"/>
      <c r="R216" s="425"/>
      <c r="S216" s="425"/>
      <c r="T216" s="425"/>
      <c r="U216" s="426"/>
      <c r="V216" s="427"/>
      <c r="Y216" s="421"/>
      <c r="Z216" s="421"/>
    </row>
    <row r="217" spans="2:26" s="422" customFormat="1" x14ac:dyDescent="0.25">
      <c r="B217" s="423"/>
      <c r="C217" s="424"/>
      <c r="D217" s="424"/>
      <c r="E217" s="421"/>
      <c r="F217" s="421"/>
      <c r="G217" s="421"/>
      <c r="H217" s="421"/>
      <c r="I217" s="421"/>
      <c r="J217" s="421"/>
      <c r="K217" s="421"/>
      <c r="L217" s="421"/>
      <c r="M217" s="421"/>
      <c r="N217" s="421"/>
      <c r="O217" s="421"/>
      <c r="P217" s="421"/>
      <c r="Q217" s="421"/>
      <c r="R217" s="425"/>
      <c r="S217" s="425"/>
      <c r="T217" s="425"/>
      <c r="U217" s="426"/>
      <c r="V217" s="427"/>
      <c r="Y217" s="421"/>
      <c r="Z217" s="421"/>
    </row>
    <row r="218" spans="2:26" s="422" customFormat="1" x14ac:dyDescent="0.25">
      <c r="B218" s="423"/>
      <c r="C218" s="424"/>
      <c r="D218" s="424"/>
      <c r="E218" s="421"/>
      <c r="F218" s="421"/>
      <c r="G218" s="421"/>
      <c r="H218" s="421"/>
      <c r="I218" s="421"/>
      <c r="J218" s="421"/>
      <c r="K218" s="421"/>
      <c r="L218" s="421"/>
      <c r="M218" s="421"/>
      <c r="N218" s="421"/>
      <c r="O218" s="421"/>
      <c r="P218" s="421"/>
      <c r="Q218" s="421"/>
      <c r="R218" s="425"/>
      <c r="S218" s="425"/>
      <c r="T218" s="425"/>
      <c r="U218" s="426"/>
      <c r="V218" s="427"/>
      <c r="Y218" s="421"/>
      <c r="Z218" s="421"/>
    </row>
    <row r="219" spans="2:26" s="422" customFormat="1" x14ac:dyDescent="0.25">
      <c r="B219" s="423"/>
      <c r="C219" s="424"/>
      <c r="D219" s="424"/>
      <c r="E219" s="421"/>
      <c r="F219" s="421"/>
      <c r="G219" s="421"/>
      <c r="H219" s="421"/>
      <c r="I219" s="421"/>
      <c r="J219" s="421"/>
      <c r="K219" s="421"/>
      <c r="L219" s="421"/>
      <c r="M219" s="421"/>
      <c r="N219" s="421"/>
      <c r="O219" s="421"/>
      <c r="P219" s="421"/>
      <c r="Q219" s="421"/>
      <c r="R219" s="425"/>
      <c r="S219" s="425"/>
      <c r="T219" s="425"/>
      <c r="U219" s="426"/>
      <c r="V219" s="427"/>
      <c r="Y219" s="421"/>
      <c r="Z219" s="421"/>
    </row>
    <row r="220" spans="2:26" s="422" customFormat="1" x14ac:dyDescent="0.25">
      <c r="B220" s="423"/>
      <c r="C220" s="424"/>
      <c r="D220" s="424"/>
      <c r="E220" s="421"/>
      <c r="F220" s="421"/>
      <c r="G220" s="421"/>
      <c r="H220" s="421"/>
      <c r="I220" s="421"/>
      <c r="J220" s="421"/>
      <c r="K220" s="421"/>
      <c r="L220" s="421"/>
      <c r="M220" s="421"/>
      <c r="N220" s="421"/>
      <c r="O220" s="421"/>
      <c r="P220" s="421"/>
      <c r="Q220" s="421"/>
      <c r="R220" s="425"/>
      <c r="S220" s="425"/>
      <c r="T220" s="425"/>
      <c r="U220" s="426"/>
      <c r="V220" s="427"/>
      <c r="Y220" s="421"/>
      <c r="Z220" s="421"/>
    </row>
    <row r="221" spans="2:26" s="422" customFormat="1" x14ac:dyDescent="0.25">
      <c r="B221" s="423"/>
      <c r="C221" s="424"/>
      <c r="D221" s="424"/>
      <c r="E221" s="421"/>
      <c r="F221" s="421"/>
      <c r="G221" s="421"/>
      <c r="H221" s="421"/>
      <c r="I221" s="421"/>
      <c r="J221" s="421"/>
      <c r="K221" s="421"/>
      <c r="L221" s="421"/>
      <c r="M221" s="421"/>
      <c r="N221" s="421"/>
      <c r="O221" s="421"/>
      <c r="P221" s="421"/>
      <c r="Q221" s="421"/>
      <c r="R221" s="425"/>
      <c r="S221" s="425"/>
      <c r="T221" s="425"/>
      <c r="U221" s="426"/>
      <c r="V221" s="427"/>
      <c r="Y221" s="421"/>
      <c r="Z221" s="421"/>
    </row>
    <row r="222" spans="2:26" s="422" customFormat="1" x14ac:dyDescent="0.25">
      <c r="B222" s="423"/>
      <c r="C222" s="424"/>
      <c r="D222" s="424"/>
      <c r="E222" s="421"/>
      <c r="F222" s="421"/>
      <c r="G222" s="421"/>
      <c r="H222" s="421"/>
      <c r="I222" s="421"/>
      <c r="J222" s="421"/>
      <c r="K222" s="421"/>
      <c r="L222" s="421"/>
      <c r="M222" s="421"/>
      <c r="N222" s="421"/>
      <c r="O222" s="421"/>
      <c r="P222" s="421"/>
      <c r="Q222" s="421"/>
      <c r="R222" s="425"/>
      <c r="S222" s="425"/>
      <c r="T222" s="425"/>
      <c r="U222" s="426"/>
      <c r="V222" s="427"/>
      <c r="Y222" s="421"/>
      <c r="Z222" s="421"/>
    </row>
    <row r="223" spans="2:26" s="422" customFormat="1" x14ac:dyDescent="0.25">
      <c r="B223" s="423"/>
      <c r="C223" s="424"/>
      <c r="D223" s="424"/>
      <c r="E223" s="421"/>
      <c r="F223" s="421"/>
      <c r="G223" s="421"/>
      <c r="H223" s="421"/>
      <c r="I223" s="421"/>
      <c r="J223" s="421"/>
      <c r="K223" s="421"/>
      <c r="L223" s="421"/>
      <c r="M223" s="421"/>
      <c r="N223" s="421"/>
      <c r="O223" s="421"/>
      <c r="P223" s="421"/>
      <c r="Q223" s="421"/>
      <c r="R223" s="425"/>
      <c r="S223" s="425"/>
      <c r="T223" s="425"/>
      <c r="U223" s="426"/>
      <c r="V223" s="427"/>
      <c r="Y223" s="421"/>
      <c r="Z223" s="421"/>
    </row>
    <row r="224" spans="2:26" s="422" customFormat="1" x14ac:dyDescent="0.25">
      <c r="B224" s="423"/>
      <c r="C224" s="424"/>
      <c r="D224" s="424"/>
      <c r="E224" s="421"/>
      <c r="F224" s="421"/>
      <c r="G224" s="421"/>
      <c r="H224" s="421"/>
      <c r="I224" s="421"/>
      <c r="J224" s="421"/>
      <c r="K224" s="421"/>
      <c r="L224" s="421"/>
      <c r="M224" s="421"/>
      <c r="N224" s="421"/>
      <c r="O224" s="421"/>
      <c r="P224" s="421"/>
      <c r="Q224" s="421"/>
      <c r="R224" s="425"/>
      <c r="S224" s="425"/>
      <c r="T224" s="425"/>
      <c r="U224" s="426"/>
      <c r="V224" s="427"/>
      <c r="Y224" s="421"/>
      <c r="Z224" s="421"/>
    </row>
  </sheetData>
  <mergeCells count="3">
    <mergeCell ref="B2:B10"/>
    <mergeCell ref="C2:R8"/>
    <mergeCell ref="C9:N10"/>
  </mergeCells>
  <dataValidations count="3">
    <dataValidation type="list" allowBlank="1" showInputMessage="1" showErrorMessage="1" sqref="D13:D113" xr:uid="{3DEBCFDD-8F9A-42C9-BCA3-237494B06876}">
      <formula1>INDIRECT(B13)</formula1>
    </dataValidation>
    <dataValidation type="list" showInputMessage="1" showErrorMessage="1" sqref="B13:B113" xr:uid="{10EC52ED-B6BE-4BF7-93D2-430677F368FF}">
      <formula1>PARTIDAS</formula1>
    </dataValidation>
    <dataValidation type="list" allowBlank="1" showInputMessage="1" showErrorMessage="1" sqref="R13:R113" xr:uid="{47B2AC57-F1A8-47E2-A2FB-F8CED39D4332}">
      <formula1>FUENTE</formula1>
    </dataValidation>
  </dataValidations>
  <pageMargins left="0.23622047244094491" right="0.23622047244094491" top="0.74803149606299213" bottom="0.74803149606299213" header="0.31496062992125984" footer="0.31496062992125984"/>
  <pageSetup scale="65" orientation="landscape" r:id="rId1"/>
  <drawing r:id="rId2"/>
  <legacyDrawing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CD9365F4-8A74-4FD0-8222-79DE40561298}">
          <x14:formula1>
            <xm:f>'D:\Documents\Seidy Zúñiga\1 PRESUPUESTO\2021\[0-Matriz POI-presupuesto 2021 consolidado al 07-06-2021.xlsx]Hoja2'!#REF!</xm:f>
          </x14:formula1>
          <xm:sqref>T13:T15 T17:T113 S13:S113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R26"/>
  <sheetViews>
    <sheetView showGridLines="0" tabSelected="1" topLeftCell="C4" zoomScale="90" zoomScaleNormal="90" workbookViewId="0">
      <selection activeCell="N6" sqref="N6"/>
    </sheetView>
  </sheetViews>
  <sheetFormatPr baseColWidth="10" defaultRowHeight="15" x14ac:dyDescent="0.25"/>
  <cols>
    <col min="2" max="2" width="27.85546875" customWidth="1"/>
    <col min="3" max="3" width="20.140625" style="1" customWidth="1"/>
    <col min="4" max="4" width="21" style="1" customWidth="1"/>
    <col min="5" max="5" width="19.5703125" style="1" customWidth="1"/>
    <col min="6" max="6" width="20.5703125" style="77" customWidth="1"/>
    <col min="7" max="7" width="18.42578125" style="1" hidden="1" customWidth="1"/>
    <col min="8" max="8" width="19" style="1" hidden="1" customWidth="1"/>
    <col min="9" max="9" width="18.85546875" style="1" hidden="1" customWidth="1"/>
    <col min="10" max="10" width="20.140625" style="1" customWidth="1"/>
    <col min="11" max="11" width="18.5703125" style="1" customWidth="1"/>
    <col min="12" max="12" width="18.42578125" style="1" customWidth="1"/>
    <col min="13" max="13" width="18.28515625" style="1" customWidth="1"/>
    <col min="14" max="14" width="18.42578125" style="1" customWidth="1"/>
    <col min="15" max="15" width="20.7109375" style="1" customWidth="1"/>
    <col min="16" max="16" width="13.42578125" style="3" customWidth="1"/>
    <col min="17" max="17" width="17.42578125" bestFit="1" customWidth="1"/>
    <col min="18" max="18" width="18.140625" style="1" customWidth="1"/>
  </cols>
  <sheetData>
    <row r="1" spans="2:18" x14ac:dyDescent="0.25">
      <c r="B1" s="561"/>
      <c r="C1" s="561"/>
      <c r="D1" s="561"/>
      <c r="E1" s="561"/>
      <c r="F1" s="561"/>
      <c r="G1" s="561"/>
      <c r="H1" s="561"/>
      <c r="I1" s="561"/>
      <c r="J1" s="561"/>
      <c r="K1" s="376"/>
      <c r="L1" s="376"/>
      <c r="M1" s="376"/>
      <c r="N1" s="376"/>
      <c r="O1" s="376"/>
      <c r="P1" s="5"/>
      <c r="Q1" s="1"/>
    </row>
    <row r="2" spans="2:18" x14ac:dyDescent="0.25">
      <c r="B2" s="561"/>
      <c r="C2" s="561"/>
      <c r="D2" s="561"/>
      <c r="E2" s="561"/>
      <c r="F2" s="561"/>
      <c r="G2" s="561"/>
      <c r="H2" s="561"/>
      <c r="I2" s="561"/>
      <c r="J2" s="561"/>
      <c r="K2" s="376"/>
      <c r="L2" s="376"/>
      <c r="M2" s="376"/>
      <c r="N2" s="376"/>
      <c r="O2" s="376"/>
      <c r="P2" s="5"/>
      <c r="Q2" s="1"/>
    </row>
    <row r="3" spans="2:18" x14ac:dyDescent="0.25">
      <c r="B3" s="560"/>
      <c r="C3" s="560"/>
      <c r="D3" s="560"/>
      <c r="E3" s="560"/>
      <c r="F3" s="560"/>
      <c r="G3" s="560"/>
      <c r="H3" s="560"/>
      <c r="I3" s="560"/>
      <c r="J3" s="560"/>
      <c r="K3" s="375"/>
      <c r="L3" s="375"/>
      <c r="M3" s="375"/>
      <c r="N3" s="375"/>
      <c r="O3" s="375"/>
      <c r="P3" s="5"/>
      <c r="Q3" s="1"/>
    </row>
    <row r="4" spans="2:18" ht="52.5" customHeight="1" x14ac:dyDescent="0.25">
      <c r="B4" s="171" t="s">
        <v>727</v>
      </c>
      <c r="C4" s="179" t="s">
        <v>1098</v>
      </c>
      <c r="D4" s="179" t="s">
        <v>1099</v>
      </c>
      <c r="E4" s="179" t="s">
        <v>1100</v>
      </c>
      <c r="F4" s="172" t="s">
        <v>760</v>
      </c>
      <c r="G4" s="179" t="s">
        <v>754</v>
      </c>
      <c r="H4" s="173" t="s">
        <v>755</v>
      </c>
      <c r="I4" s="173" t="s">
        <v>756</v>
      </c>
      <c r="J4" s="179" t="s">
        <v>1101</v>
      </c>
      <c r="K4" s="383" t="s">
        <v>795</v>
      </c>
      <c r="L4" s="384" t="s">
        <v>797</v>
      </c>
      <c r="M4" s="384" t="s">
        <v>796</v>
      </c>
      <c r="N4" s="179" t="s">
        <v>1102</v>
      </c>
      <c r="O4" s="179" t="s">
        <v>802</v>
      </c>
      <c r="P4" s="174" t="s">
        <v>728</v>
      </c>
    </row>
    <row r="5" spans="2:18" ht="21" customHeight="1" x14ac:dyDescent="0.25">
      <c r="B5" s="168" t="s">
        <v>149</v>
      </c>
      <c r="C5" s="165">
        <f>SUM(C6:C10)</f>
        <v>1828789575.8199999</v>
      </c>
      <c r="D5" s="165">
        <f>SUM(D6:D10)</f>
        <v>9111309.5099999905</v>
      </c>
      <c r="E5" s="165">
        <f>SUM(E6:E10)</f>
        <v>0</v>
      </c>
      <c r="F5" s="165">
        <f>+F6+F8+F10</f>
        <v>1837900885.3299999</v>
      </c>
      <c r="G5" s="165">
        <f t="shared" ref="G5:M5" si="0">+G6+G8+G10</f>
        <v>181175939.97999999</v>
      </c>
      <c r="H5" s="165">
        <f t="shared" si="0"/>
        <v>269649280.43000007</v>
      </c>
      <c r="I5" s="165">
        <f t="shared" si="0"/>
        <v>943172676.61000001</v>
      </c>
      <c r="J5" s="165">
        <f t="shared" si="0"/>
        <v>1393997897.02</v>
      </c>
      <c r="K5" s="165">
        <f t="shared" si="0"/>
        <v>182366684.47</v>
      </c>
      <c r="L5" s="165">
        <f t="shared" si="0"/>
        <v>102693900.48</v>
      </c>
      <c r="M5" s="165">
        <f t="shared" si="0"/>
        <v>104174126.03</v>
      </c>
      <c r="N5" s="165">
        <f>SUM(K5:M5)</f>
        <v>389234710.98000002</v>
      </c>
      <c r="O5" s="165">
        <f>+J5+N5</f>
        <v>1783232608</v>
      </c>
      <c r="P5" s="180">
        <f>+O5/F5</f>
        <v>0.970255045978617</v>
      </c>
    </row>
    <row r="6" spans="2:18" x14ac:dyDescent="0.25">
      <c r="B6" s="8" t="s">
        <v>7</v>
      </c>
      <c r="C6" s="10">
        <v>0</v>
      </c>
      <c r="D6" s="10">
        <v>0</v>
      </c>
      <c r="E6" s="10">
        <v>0</v>
      </c>
      <c r="F6" s="10">
        <f>SUM(C6:D6)</f>
        <v>0</v>
      </c>
      <c r="G6" s="10">
        <f>+'Tabla 3 Ingresos por partida'!E10</f>
        <v>902034.38</v>
      </c>
      <c r="H6" s="10">
        <f>+'Tabla 3 Ingresos por partida'!F10</f>
        <v>479641.97</v>
      </c>
      <c r="I6" s="10">
        <f>+'Tabla 3 Ingresos por partida'!G10</f>
        <v>4613144.7</v>
      </c>
      <c r="J6" s="10">
        <f>SUM(G6:I6)</f>
        <v>5994821.0500000007</v>
      </c>
      <c r="K6" s="10">
        <f>+'Tabla 3 Ingresos por partida'!I10</f>
        <v>741891.96000000008</v>
      </c>
      <c r="L6" s="10">
        <f>+'Tabla 3 Ingresos por partida'!J10</f>
        <v>904288.4</v>
      </c>
      <c r="M6" s="10">
        <f>+'Tabla 3 Ingresos por partida'!K10</f>
        <v>428258.33</v>
      </c>
      <c r="N6" s="10">
        <f>SUM(K6:M6)</f>
        <v>2074438.6900000002</v>
      </c>
      <c r="O6" s="10">
        <f>+J6+N6</f>
        <v>8069259.7400000012</v>
      </c>
      <c r="P6" s="181">
        <v>1</v>
      </c>
    </row>
    <row r="7" spans="2:18" s="77" customFormat="1" ht="6.75" customHeight="1" x14ac:dyDescent="0.25">
      <c r="B7" s="8"/>
      <c r="C7" s="10"/>
      <c r="D7" s="10"/>
      <c r="E7" s="10"/>
      <c r="F7" s="10"/>
      <c r="G7" s="9"/>
      <c r="H7" s="9"/>
      <c r="I7" s="9"/>
      <c r="J7" s="9"/>
      <c r="K7" s="9"/>
      <c r="L7" s="9"/>
      <c r="M7" s="9"/>
      <c r="N7" s="9"/>
      <c r="O7" s="9"/>
      <c r="P7" s="182"/>
      <c r="R7" s="1"/>
    </row>
    <row r="8" spans="2:18" x14ac:dyDescent="0.25">
      <c r="B8" s="8" t="s">
        <v>2</v>
      </c>
      <c r="C8" s="10">
        <v>1828789575.8199999</v>
      </c>
      <c r="D8" s="10">
        <v>-221066061.46000001</v>
      </c>
      <c r="E8" s="10">
        <v>0</v>
      </c>
      <c r="F8" s="10">
        <f>SUM(C8:D8)</f>
        <v>1607723514.3599999</v>
      </c>
      <c r="G8" s="9">
        <f>+'Tabla 3 Ingresos por partida'!E27</f>
        <v>180273905.59999999</v>
      </c>
      <c r="H8" s="9">
        <f>+'Tabla 3 Ingresos por partida'!F27</f>
        <v>269169638.46000004</v>
      </c>
      <c r="I8" s="9">
        <f>+'Tabla 3 Ingresos por partida'!G27</f>
        <v>101789612.08</v>
      </c>
      <c r="J8" s="9">
        <f>SUM(G8:I8)</f>
        <v>551233156.1400001</v>
      </c>
      <c r="K8" s="9">
        <f>+'Tabla 3 Ingresos por partida'!I27</f>
        <v>181624792.50999999</v>
      </c>
      <c r="L8" s="9">
        <f>+'Tabla 3 Ingresos por partida'!J27</f>
        <v>101789612.08</v>
      </c>
      <c r="M8" s="9">
        <f>+'Tabla 3 Ingresos por partida'!K27</f>
        <v>103745867.7</v>
      </c>
      <c r="N8" s="9">
        <f>SUM(K8:M8)</f>
        <v>387160272.28999996</v>
      </c>
      <c r="O8" s="9">
        <f>+J8+N8</f>
        <v>938393428.43000007</v>
      </c>
      <c r="P8" s="181">
        <f>+O8/F8</f>
        <v>0.58367836263410888</v>
      </c>
      <c r="Q8" s="2"/>
    </row>
    <row r="9" spans="2:18" s="77" customFormat="1" ht="6.75" customHeight="1" x14ac:dyDescent="0.25">
      <c r="B9" s="8"/>
      <c r="C9" s="10"/>
      <c r="D9" s="10"/>
      <c r="E9" s="10"/>
      <c r="F9" s="10"/>
      <c r="G9" s="9"/>
      <c r="H9" s="9"/>
      <c r="I9" s="9"/>
      <c r="J9" s="9"/>
      <c r="K9" s="9"/>
      <c r="L9" s="9"/>
      <c r="M9" s="9"/>
      <c r="N9" s="9"/>
      <c r="O9" s="9"/>
      <c r="P9" s="182"/>
      <c r="R9" s="1"/>
    </row>
    <row r="10" spans="2:18" x14ac:dyDescent="0.25">
      <c r="B10" s="8" t="s">
        <v>10</v>
      </c>
      <c r="C10" s="10">
        <v>0</v>
      </c>
      <c r="D10" s="10">
        <v>230177370.97</v>
      </c>
      <c r="E10" s="10">
        <v>0</v>
      </c>
      <c r="F10" s="10">
        <f>SUM(C10:D10)</f>
        <v>230177370.97</v>
      </c>
      <c r="G10" s="9">
        <f>+'Tabla 3 Ingresos por partida'!E41</f>
        <v>0</v>
      </c>
      <c r="H10" s="9">
        <f>+'Tabla 3 Ingresos por partida'!F41</f>
        <v>0</v>
      </c>
      <c r="I10" s="9">
        <f>+'Tabla 3 Ingresos por partida'!G41</f>
        <v>836769919.83000004</v>
      </c>
      <c r="J10" s="9">
        <f>SUM(G10:I10)</f>
        <v>836769919.83000004</v>
      </c>
      <c r="K10" s="9">
        <f>+'Tabla 3 Ingresos por partida'!I41</f>
        <v>0</v>
      </c>
      <c r="L10" s="9">
        <f>+'Tabla 3 Ingresos por partida'!J41</f>
        <v>0</v>
      </c>
      <c r="M10" s="9">
        <f>+'Tabla 3 Ingresos por partida'!K41</f>
        <v>0</v>
      </c>
      <c r="N10" s="9">
        <f>SUM(K10:M10)</f>
        <v>0</v>
      </c>
      <c r="O10" s="9">
        <f>+J10+N10</f>
        <v>836769919.83000004</v>
      </c>
      <c r="P10" s="181">
        <v>1</v>
      </c>
    </row>
    <row r="11" spans="2:18" s="77" customFormat="1" ht="6.75" customHeight="1" x14ac:dyDescent="0.25">
      <c r="B11" s="6"/>
      <c r="C11" s="457"/>
      <c r="D11" s="457"/>
      <c r="E11" s="457"/>
      <c r="F11" s="164"/>
      <c r="G11" s="7"/>
      <c r="H11" s="7"/>
      <c r="I11" s="7"/>
      <c r="J11" s="7"/>
      <c r="K11" s="7"/>
      <c r="L11" s="7"/>
      <c r="M11" s="7"/>
      <c r="N11" s="7"/>
      <c r="O11" s="7"/>
      <c r="P11" s="182"/>
      <c r="R11" s="1"/>
    </row>
    <row r="12" spans="2:18" s="77" customFormat="1" ht="13.5" customHeight="1" x14ac:dyDescent="0.25">
      <c r="B12" s="169"/>
      <c r="C12" s="458"/>
      <c r="D12" s="458"/>
      <c r="E12" s="458"/>
      <c r="F12" s="166"/>
      <c r="G12" s="167"/>
      <c r="H12" s="167"/>
      <c r="I12" s="167"/>
      <c r="J12" s="167"/>
      <c r="K12" s="167"/>
      <c r="L12" s="167"/>
      <c r="M12" s="167"/>
      <c r="N12" s="167"/>
      <c r="O12" s="167"/>
      <c r="P12" s="183"/>
      <c r="R12" s="1"/>
    </row>
    <row r="13" spans="2:18" s="77" customFormat="1" ht="21" customHeight="1" x14ac:dyDescent="0.25">
      <c r="B13" s="168" t="s">
        <v>150</v>
      </c>
      <c r="C13" s="165">
        <f>SUM(C14:C19)</f>
        <v>1828789575.8200002</v>
      </c>
      <c r="D13" s="165">
        <f>SUM(D14:D19)</f>
        <v>9111309.5099999998</v>
      </c>
      <c r="E13" s="165">
        <f>SUM(E14:E19)</f>
        <v>0</v>
      </c>
      <c r="F13" s="170">
        <f>SUM(F14:F19)</f>
        <v>1837900885.3300002</v>
      </c>
      <c r="G13" s="170">
        <f t="shared" ref="G13:J13" si="1">SUM(G14:G19)</f>
        <v>173283935.34999999</v>
      </c>
      <c r="H13" s="170">
        <f t="shared" si="1"/>
        <v>332682323.18000001</v>
      </c>
      <c r="I13" s="170">
        <f t="shared" si="1"/>
        <v>92698257.700000003</v>
      </c>
      <c r="J13" s="170">
        <f t="shared" si="1"/>
        <v>598664516.23000002</v>
      </c>
      <c r="K13" s="170">
        <f t="shared" ref="K13:M13" si="2">SUM(K14:K19)</f>
        <v>108970560.51000001</v>
      </c>
      <c r="L13" s="170">
        <f t="shared" si="2"/>
        <v>104177977.23000002</v>
      </c>
      <c r="M13" s="170">
        <f t="shared" si="2"/>
        <v>96477681.410000011</v>
      </c>
      <c r="N13" s="170">
        <f>SUM(K13:M13)</f>
        <v>309626219.15000004</v>
      </c>
      <c r="O13" s="170">
        <f>+J13+N13</f>
        <v>908290735.38000011</v>
      </c>
      <c r="P13" s="180">
        <f>+O13/F13</f>
        <v>0.49420006412201822</v>
      </c>
      <c r="R13" s="1"/>
    </row>
    <row r="14" spans="2:18" x14ac:dyDescent="0.25">
      <c r="B14" s="8" t="s">
        <v>3</v>
      </c>
      <c r="C14" s="10">
        <v>1079457084.7</v>
      </c>
      <c r="D14" s="10">
        <v>-6393722.7999999998</v>
      </c>
      <c r="E14" s="10">
        <f>-6893722.8-D14</f>
        <v>-500000</v>
      </c>
      <c r="F14" s="10">
        <f>SUM(C14:E14)</f>
        <v>1072563361.9000001</v>
      </c>
      <c r="G14" s="10">
        <v>130256270.25</v>
      </c>
      <c r="H14" s="10">
        <v>86139534.540000007</v>
      </c>
      <c r="I14" s="10">
        <v>76402676.819999993</v>
      </c>
      <c r="J14" s="10">
        <f>SUM(G14:I14)</f>
        <v>292798481.61000001</v>
      </c>
      <c r="K14" s="10">
        <f>31430186.79+38286362.6</f>
        <v>69716549.390000001</v>
      </c>
      <c r="L14" s="10">
        <f>31538717.92+34939260.13</f>
        <v>66477978.050000004</v>
      </c>
      <c r="M14" s="10">
        <f>31666688.74+38244327.6</f>
        <v>69911016.340000004</v>
      </c>
      <c r="N14" s="10">
        <f>SUM(K14:M14)</f>
        <v>206105543.78</v>
      </c>
      <c r="O14" s="10">
        <f>+J14+N14</f>
        <v>498904025.38999999</v>
      </c>
      <c r="P14" s="181">
        <f>+O14/F14</f>
        <v>0.46515109793253878</v>
      </c>
    </row>
    <row r="15" spans="2:18" x14ac:dyDescent="0.25">
      <c r="B15" s="8" t="s">
        <v>0</v>
      </c>
      <c r="C15" s="10">
        <v>88348031.400000006</v>
      </c>
      <c r="D15" s="10">
        <v>0</v>
      </c>
      <c r="E15" s="10">
        <v>25742000</v>
      </c>
      <c r="F15" s="10">
        <f t="shared" ref="F15:F19" si="3">SUM(C15:E15)</f>
        <v>114090031.40000001</v>
      </c>
      <c r="G15" s="10">
        <v>1825593.02</v>
      </c>
      <c r="H15" s="10">
        <v>10208048.869999999</v>
      </c>
      <c r="I15" s="10">
        <v>7746156.6799999997</v>
      </c>
      <c r="J15" s="10">
        <f t="shared" ref="J15:J19" si="4">SUM(G15:I15)</f>
        <v>19779798.57</v>
      </c>
      <c r="K15" s="10">
        <v>5068258.62</v>
      </c>
      <c r="L15" s="10">
        <v>5045458.75</v>
      </c>
      <c r="M15" s="10">
        <v>5946670.1799999997</v>
      </c>
      <c r="N15" s="10">
        <f>SUM(K15:M15)</f>
        <v>16060387.550000001</v>
      </c>
      <c r="O15" s="10">
        <f>+J15+N15</f>
        <v>35840186.120000005</v>
      </c>
      <c r="P15" s="181">
        <f t="shared" ref="P15:P19" si="5">+O15/F15</f>
        <v>0.31413950614444308</v>
      </c>
    </row>
    <row r="16" spans="2:18" x14ac:dyDescent="0.25">
      <c r="B16" s="8" t="s">
        <v>11</v>
      </c>
      <c r="C16" s="10">
        <v>1520000</v>
      </c>
      <c r="D16" s="10">
        <v>0</v>
      </c>
      <c r="E16" s="10">
        <v>225000</v>
      </c>
      <c r="F16" s="10">
        <f t="shared" si="3"/>
        <v>1745000</v>
      </c>
      <c r="G16" s="10">
        <v>0</v>
      </c>
      <c r="H16" s="10">
        <v>0</v>
      </c>
      <c r="I16" s="10">
        <v>25449.7</v>
      </c>
      <c r="J16" s="10">
        <f t="shared" si="4"/>
        <v>25449.7</v>
      </c>
      <c r="K16" s="10">
        <v>23005</v>
      </c>
      <c r="L16" s="10">
        <v>0</v>
      </c>
      <c r="M16" s="10">
        <v>29002</v>
      </c>
      <c r="N16" s="10">
        <f t="shared" ref="N16:N19" si="6">SUM(K16:M16)</f>
        <v>52007</v>
      </c>
      <c r="O16" s="10">
        <f t="shared" ref="O16:O19" si="7">+J16+N16</f>
        <v>77456.7</v>
      </c>
      <c r="P16" s="181">
        <f t="shared" si="5"/>
        <v>4.4387793696275067E-2</v>
      </c>
      <c r="Q16" s="2"/>
    </row>
    <row r="17" spans="2:18" x14ac:dyDescent="0.25">
      <c r="B17" s="8" t="s">
        <v>4</v>
      </c>
      <c r="C17" s="10">
        <v>23914698.82</v>
      </c>
      <c r="D17" s="10">
        <v>9974871.1799999997</v>
      </c>
      <c r="E17" s="10">
        <f>10154871.18-D17</f>
        <v>180000</v>
      </c>
      <c r="F17" s="10">
        <f t="shared" si="3"/>
        <v>34069570</v>
      </c>
      <c r="G17" s="10">
        <v>0</v>
      </c>
      <c r="H17" s="10">
        <v>0</v>
      </c>
      <c r="I17" s="10">
        <v>0</v>
      </c>
      <c r="J17" s="10">
        <f t="shared" si="4"/>
        <v>0</v>
      </c>
      <c r="K17" s="10">
        <v>709187.28</v>
      </c>
      <c r="L17" s="10">
        <v>0</v>
      </c>
      <c r="M17" s="10">
        <v>0</v>
      </c>
      <c r="N17" s="10">
        <f t="shared" si="6"/>
        <v>709187.28</v>
      </c>
      <c r="O17" s="10">
        <f t="shared" si="7"/>
        <v>709187.28</v>
      </c>
      <c r="P17" s="181">
        <f t="shared" si="5"/>
        <v>2.0815856495987477E-2</v>
      </c>
    </row>
    <row r="18" spans="2:18" x14ac:dyDescent="0.25">
      <c r="B18" s="8" t="s">
        <v>2</v>
      </c>
      <c r="C18" s="10">
        <v>596934889.59000003</v>
      </c>
      <c r="D18" s="10">
        <v>5530161.1299999999</v>
      </c>
      <c r="E18" s="10">
        <f>8558109.19-D18</f>
        <v>3027948.0599999996</v>
      </c>
      <c r="F18" s="10">
        <f t="shared" si="3"/>
        <v>605492998.77999997</v>
      </c>
      <c r="G18" s="10">
        <v>41202072.079999998</v>
      </c>
      <c r="H18" s="10">
        <v>236334739.77000001</v>
      </c>
      <c r="I18" s="10">
        <v>8523974.5</v>
      </c>
      <c r="J18" s="10">
        <f t="shared" si="4"/>
        <v>286060786.35000002</v>
      </c>
      <c r="K18" s="10">
        <f>23037302.1+10416258.12</f>
        <v>33453560.219999999</v>
      </c>
      <c r="L18" s="10">
        <f>31210884.1+1443656.33</f>
        <v>32654540.43</v>
      </c>
      <c r="M18" s="10">
        <f>14545461.5+6045531.39</f>
        <v>20590992.890000001</v>
      </c>
      <c r="N18" s="10">
        <f t="shared" si="6"/>
        <v>86699093.539999992</v>
      </c>
      <c r="O18" s="10">
        <f t="shared" si="7"/>
        <v>372759879.88999999</v>
      </c>
      <c r="P18" s="181">
        <f t="shared" si="5"/>
        <v>0.61563037168236301</v>
      </c>
    </row>
    <row r="19" spans="2:18" x14ac:dyDescent="0.25">
      <c r="B19" s="8" t="s">
        <v>13</v>
      </c>
      <c r="C19" s="10">
        <v>38614871.310000002</v>
      </c>
      <c r="D19" s="10">
        <v>0</v>
      </c>
      <c r="E19" s="10">
        <v>-28674948.059999999</v>
      </c>
      <c r="F19" s="10">
        <f t="shared" si="3"/>
        <v>9939923.2500000037</v>
      </c>
      <c r="G19" s="10">
        <v>0</v>
      </c>
      <c r="H19" s="10">
        <v>0</v>
      </c>
      <c r="I19" s="10">
        <v>0</v>
      </c>
      <c r="J19" s="10">
        <f t="shared" si="4"/>
        <v>0</v>
      </c>
      <c r="K19" s="10">
        <v>0</v>
      </c>
      <c r="L19" s="10">
        <v>0</v>
      </c>
      <c r="M19" s="10">
        <v>0</v>
      </c>
      <c r="N19" s="10">
        <f t="shared" si="6"/>
        <v>0</v>
      </c>
      <c r="O19" s="10">
        <f t="shared" si="7"/>
        <v>0</v>
      </c>
      <c r="P19" s="181">
        <f t="shared" si="5"/>
        <v>0</v>
      </c>
    </row>
    <row r="20" spans="2:18" s="77" customFormat="1" x14ac:dyDescent="0.25">
      <c r="B20" s="454" t="s">
        <v>1097</v>
      </c>
      <c r="C20" s="455"/>
      <c r="D20" s="455"/>
      <c r="E20" s="455"/>
      <c r="F20" s="455"/>
      <c r="G20" s="455"/>
      <c r="H20" s="455"/>
      <c r="I20" s="455"/>
      <c r="J20" s="455"/>
      <c r="K20" s="455"/>
      <c r="L20" s="455"/>
      <c r="M20" s="455"/>
      <c r="N20" s="455"/>
      <c r="O20" s="455">
        <f>+O5-O13</f>
        <v>874941872.61999989</v>
      </c>
      <c r="P20" s="456">
        <f>+O13/O5</f>
        <v>0.50935067657757871</v>
      </c>
      <c r="R20" s="1"/>
    </row>
    <row r="21" spans="2:18" ht="20.25" customHeight="1" x14ac:dyDescent="0.25">
      <c r="B21" s="562" t="s">
        <v>736</v>
      </c>
      <c r="C21" s="562"/>
      <c r="D21" s="562"/>
      <c r="E21" s="562"/>
      <c r="F21" s="562"/>
      <c r="G21" s="562"/>
      <c r="H21" s="562"/>
      <c r="I21" s="562"/>
      <c r="J21" s="562"/>
      <c r="K21" s="562"/>
      <c r="L21" s="562"/>
      <c r="M21" s="562"/>
      <c r="N21" s="562"/>
      <c r="O21" s="562"/>
      <c r="P21" s="562"/>
    </row>
    <row r="22" spans="2:18" s="120" customFormat="1" x14ac:dyDescent="0.25">
      <c r="B22" s="119"/>
      <c r="C22" s="7"/>
      <c r="D22" s="7"/>
      <c r="E22" s="7"/>
      <c r="F22" s="119"/>
      <c r="G22" s="15"/>
      <c r="H22" s="15"/>
      <c r="I22" s="15"/>
      <c r="J22" s="15"/>
      <c r="K22" s="15"/>
      <c r="L22" s="15"/>
      <c r="M22" s="15"/>
      <c r="N22" s="15"/>
      <c r="O22" s="15"/>
      <c r="P22" s="4"/>
      <c r="R22" s="15"/>
    </row>
    <row r="26" spans="2:18" x14ac:dyDescent="0.25">
      <c r="F26" s="2"/>
    </row>
  </sheetData>
  <mergeCells count="4">
    <mergeCell ref="B3:J3"/>
    <mergeCell ref="B1:J1"/>
    <mergeCell ref="B2:J2"/>
    <mergeCell ref="B21:P21"/>
  </mergeCells>
  <pageMargins left="0.7" right="0.7" top="0.75" bottom="0.75" header="0.3" footer="0.3"/>
  <pageSetup paperSize="9" orientation="portrait" r:id="rId1"/>
  <ignoredErrors>
    <ignoredError sqref="J14:J19 F6:F12"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G27"/>
  <sheetViews>
    <sheetView showGridLines="0" topLeftCell="A4" zoomScale="90" zoomScaleNormal="90" workbookViewId="0">
      <selection activeCell="E28" sqref="E28"/>
    </sheetView>
  </sheetViews>
  <sheetFormatPr baseColWidth="10" defaultRowHeight="15" x14ac:dyDescent="0.25"/>
  <cols>
    <col min="1" max="1" width="11.42578125" style="77"/>
    <col min="2" max="2" width="57.42578125" style="77" customWidth="1"/>
    <col min="3" max="3" width="21.7109375" style="77" customWidth="1"/>
    <col min="4" max="4" width="20.85546875" style="77" customWidth="1"/>
    <col min="5" max="5" width="20.5703125" style="77" customWidth="1"/>
    <col min="6" max="6" width="15.140625" style="286" customWidth="1"/>
    <col min="7" max="7" width="20.28515625" style="77" bestFit="1" customWidth="1"/>
    <col min="8" max="8" width="19" style="77" customWidth="1"/>
    <col min="9" max="9" width="11.42578125" style="77"/>
    <col min="10" max="10" width="17.42578125" style="77" bestFit="1" customWidth="1"/>
    <col min="11" max="16384" width="11.42578125" style="77"/>
  </cols>
  <sheetData>
    <row r="2" spans="2:7" x14ac:dyDescent="0.25">
      <c r="B2" s="563"/>
      <c r="C2" s="563"/>
      <c r="D2" s="563"/>
      <c r="E2" s="563"/>
      <c r="F2" s="563"/>
    </row>
    <row r="3" spans="2:7" x14ac:dyDescent="0.25">
      <c r="B3" s="563"/>
      <c r="C3" s="563"/>
      <c r="D3" s="563"/>
      <c r="E3" s="563"/>
      <c r="F3" s="563"/>
    </row>
    <row r="4" spans="2:7" x14ac:dyDescent="0.25">
      <c r="B4" s="285"/>
    </row>
    <row r="5" spans="2:7" ht="50.25" customHeight="1" x14ac:dyDescent="0.25">
      <c r="B5" s="287" t="s">
        <v>751</v>
      </c>
      <c r="C5" s="288" t="s">
        <v>760</v>
      </c>
      <c r="D5" s="288" t="s">
        <v>150</v>
      </c>
      <c r="E5" s="288" t="s">
        <v>1162</v>
      </c>
      <c r="F5" s="11" t="s">
        <v>759</v>
      </c>
      <c r="G5" s="3"/>
    </row>
    <row r="6" spans="2:7" ht="6.75" customHeight="1" x14ac:dyDescent="0.25">
      <c r="B6" s="6"/>
      <c r="C6" s="7"/>
      <c r="D6" s="7"/>
      <c r="E6" s="289"/>
      <c r="F6" s="290"/>
      <c r="G6" s="312"/>
    </row>
    <row r="7" spans="2:7" ht="6.75" customHeight="1" x14ac:dyDescent="0.25">
      <c r="B7" s="6"/>
      <c r="C7" s="7"/>
      <c r="D7" s="7"/>
      <c r="E7" s="289"/>
      <c r="F7" s="290"/>
      <c r="G7" s="312"/>
    </row>
    <row r="8" spans="2:7" x14ac:dyDescent="0.25">
      <c r="B8" s="291" t="s">
        <v>2</v>
      </c>
      <c r="C8" s="292">
        <f>SUM(C9:C14)</f>
        <v>1607723514.3599999</v>
      </c>
      <c r="D8" s="292">
        <f>SUM(D9:D14)</f>
        <v>858686372.25</v>
      </c>
      <c r="E8" s="293">
        <f>+C8-D8</f>
        <v>749037142.1099999</v>
      </c>
      <c r="F8" s="294">
        <f>+D8/C8</f>
        <v>0.53410077328614836</v>
      </c>
      <c r="G8" s="298"/>
    </row>
    <row r="9" spans="2:7" x14ac:dyDescent="0.25">
      <c r="B9" s="295" t="s">
        <v>71</v>
      </c>
      <c r="C9" s="10">
        <f>600000+3096301.35</f>
        <v>3696301.35</v>
      </c>
      <c r="D9" s="10">
        <v>0</v>
      </c>
      <c r="E9" s="9">
        <f>+C9-D9</f>
        <v>3696301.35</v>
      </c>
      <c r="F9" s="296">
        <f>+D9/C9</f>
        <v>0</v>
      </c>
      <c r="G9" s="298"/>
    </row>
    <row r="10" spans="2:7" s="297" customFormat="1" x14ac:dyDescent="0.25">
      <c r="B10" s="295" t="s">
        <v>15</v>
      </c>
      <c r="C10" s="10">
        <f>1249880479.8-6393722.8</f>
        <v>1243486757</v>
      </c>
      <c r="D10" s="10">
        <v>548558106.66999996</v>
      </c>
      <c r="E10" s="9">
        <f>+C10-D10</f>
        <v>694928650.33000004</v>
      </c>
      <c r="F10" s="296">
        <f t="shared" ref="F10:F13" si="0">+D10/C10</f>
        <v>0.44114511359448272</v>
      </c>
      <c r="G10" s="336"/>
    </row>
    <row r="11" spans="2:7" s="297" customFormat="1" hidden="1" x14ac:dyDescent="0.25">
      <c r="B11" s="295" t="s">
        <v>729</v>
      </c>
      <c r="C11" s="10">
        <v>0</v>
      </c>
      <c r="D11" s="10"/>
      <c r="E11" s="9">
        <f t="shared" ref="E11:E14" si="1">+C11-D11</f>
        <v>0</v>
      </c>
      <c r="F11" s="296" t="e">
        <f t="shared" si="0"/>
        <v>#DIV/0!</v>
      </c>
      <c r="G11" s="337"/>
    </row>
    <row r="12" spans="2:7" s="297" customFormat="1" x14ac:dyDescent="0.25">
      <c r="B12" s="295" t="s">
        <v>16</v>
      </c>
      <c r="C12" s="10">
        <v>262603199</v>
      </c>
      <c r="D12" s="9">
        <v>261159637</v>
      </c>
      <c r="E12" s="9">
        <f t="shared" si="1"/>
        <v>1443562</v>
      </c>
      <c r="F12" s="296">
        <f t="shared" si="0"/>
        <v>0.99450287732404963</v>
      </c>
      <c r="G12" s="336"/>
    </row>
    <row r="13" spans="2:7" x14ac:dyDescent="0.25">
      <c r="B13" s="295" t="s">
        <v>17</v>
      </c>
      <c r="C13" s="10">
        <v>97937257.010000005</v>
      </c>
      <c r="D13" s="10">
        <v>48968628.579999998</v>
      </c>
      <c r="E13" s="9">
        <f t="shared" si="1"/>
        <v>48968628.430000007</v>
      </c>
      <c r="F13" s="296">
        <f t="shared" si="0"/>
        <v>0.50000000076579632</v>
      </c>
      <c r="G13" s="298"/>
    </row>
    <row r="14" spans="2:7" s="3" customFormat="1" x14ac:dyDescent="0.25">
      <c r="B14" s="295" t="s">
        <v>125</v>
      </c>
      <c r="C14" s="10">
        <f>50000000-50000000</f>
        <v>0</v>
      </c>
      <c r="D14" s="10">
        <v>0</v>
      </c>
      <c r="E14" s="9">
        <f t="shared" si="1"/>
        <v>0</v>
      </c>
      <c r="F14" s="296">
        <v>1</v>
      </c>
      <c r="G14" s="298"/>
    </row>
    <row r="15" spans="2:7" ht="6.75" customHeight="1" x14ac:dyDescent="0.25">
      <c r="B15" s="299"/>
      <c r="C15" s="300"/>
      <c r="D15" s="300"/>
      <c r="E15" s="301"/>
      <c r="F15" s="302"/>
      <c r="G15" s="312"/>
    </row>
    <row r="16" spans="2:7" s="3" customFormat="1" x14ac:dyDescent="0.25">
      <c r="B16" s="291" t="s">
        <v>10</v>
      </c>
      <c r="C16" s="303">
        <f>SUM(C17:C20)</f>
        <v>230177370.96999997</v>
      </c>
      <c r="D16" s="293">
        <f>SUM(D17:D20)</f>
        <v>49604363.130000003</v>
      </c>
      <c r="E16" s="293">
        <f>SUM(E17:E20)</f>
        <v>180573007.83999997</v>
      </c>
      <c r="F16" s="294">
        <f>+D16/C16</f>
        <v>0.21550495133800601</v>
      </c>
    </row>
    <row r="17" spans="2:7" s="3" customFormat="1" x14ac:dyDescent="0.25">
      <c r="B17" s="295" t="s">
        <v>18</v>
      </c>
      <c r="C17" s="10">
        <v>9345481.6999999993</v>
      </c>
      <c r="D17" s="10">
        <v>5530161.1299999999</v>
      </c>
      <c r="E17" s="9">
        <f>+C17-D17</f>
        <v>3815320.5699999994</v>
      </c>
      <c r="F17" s="304">
        <f>+D17/C17</f>
        <v>0.59174703964162712</v>
      </c>
    </row>
    <row r="18" spans="2:7" x14ac:dyDescent="0.25">
      <c r="B18" s="295" t="s">
        <v>702</v>
      </c>
      <c r="C18" s="9">
        <v>166900820.00999999</v>
      </c>
      <c r="D18" s="9">
        <v>29198338</v>
      </c>
      <c r="E18" s="9">
        <f t="shared" ref="E18:E20" si="2">+C18-D18</f>
        <v>137702482.00999999</v>
      </c>
      <c r="F18" s="304">
        <f t="shared" ref="F18:F20" si="3">+D18/C18</f>
        <v>0.17494424532036787</v>
      </c>
    </row>
    <row r="19" spans="2:7" x14ac:dyDescent="0.25">
      <c r="B19" s="295" t="s">
        <v>19</v>
      </c>
      <c r="C19" s="10">
        <v>3063249.26</v>
      </c>
      <c r="D19" s="10">
        <v>0</v>
      </c>
      <c r="E19" s="9">
        <f t="shared" si="2"/>
        <v>3063249.26</v>
      </c>
      <c r="F19" s="304">
        <f t="shared" si="3"/>
        <v>0</v>
      </c>
    </row>
    <row r="20" spans="2:7" x14ac:dyDescent="0.25">
      <c r="B20" s="295" t="s">
        <v>701</v>
      </c>
      <c r="C20" s="10">
        <f>35991956+14875864</f>
        <v>50867820</v>
      </c>
      <c r="D20" s="10">
        <v>14875864</v>
      </c>
      <c r="E20" s="9">
        <f t="shared" si="2"/>
        <v>35991956</v>
      </c>
      <c r="F20" s="304">
        <f t="shared" si="3"/>
        <v>0.29244154752454499</v>
      </c>
    </row>
    <row r="21" spans="2:7" ht="6.75" customHeight="1" x14ac:dyDescent="0.25">
      <c r="B21" s="299"/>
      <c r="C21" s="300"/>
      <c r="D21" s="300"/>
      <c r="E21" s="301"/>
      <c r="F21" s="302"/>
      <c r="G21" s="1"/>
    </row>
    <row r="22" spans="2:7" x14ac:dyDescent="0.25">
      <c r="B22" s="305" t="s">
        <v>6</v>
      </c>
      <c r="C22" s="306">
        <f>+C8+C16</f>
        <v>1837900885.3299999</v>
      </c>
      <c r="D22" s="307">
        <f>+D8+D16</f>
        <v>908290735.38</v>
      </c>
      <c r="E22" s="307">
        <f>+E8+E16</f>
        <v>929610149.94999981</v>
      </c>
      <c r="F22" s="308">
        <f>+D22/C22</f>
        <v>0.49420006412201822</v>
      </c>
    </row>
    <row r="23" spans="2:7" x14ac:dyDescent="0.25">
      <c r="B23" s="309" t="s">
        <v>752</v>
      </c>
      <c r="C23" s="3"/>
      <c r="D23" s="310"/>
    </row>
    <row r="24" spans="2:7" x14ac:dyDescent="0.25">
      <c r="B24" s="311"/>
      <c r="C24" s="312"/>
      <c r="D24" s="312"/>
    </row>
    <row r="27" spans="2:7" x14ac:dyDescent="0.25">
      <c r="C27" s="2"/>
      <c r="D27" s="2"/>
    </row>
  </sheetData>
  <mergeCells count="2">
    <mergeCell ref="B2:F2"/>
    <mergeCell ref="B3:F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B1:P64"/>
  <sheetViews>
    <sheetView showGridLines="0" zoomScale="90" zoomScaleNormal="90" workbookViewId="0">
      <pane xSplit="3" ySplit="7" topLeftCell="H33" activePane="bottomRight" state="frozen"/>
      <selection pane="topRight" activeCell="D1" sqref="D1"/>
      <selection pane="bottomLeft" activeCell="A8" sqref="A8"/>
      <selection pane="bottomRight" activeCell="M50" sqref="M50"/>
    </sheetView>
  </sheetViews>
  <sheetFormatPr baseColWidth="10" defaultRowHeight="16.5" x14ac:dyDescent="0.3"/>
  <cols>
    <col min="1" max="1" width="5" style="12" customWidth="1"/>
    <col min="2" max="2" width="17.42578125" style="12" customWidth="1"/>
    <col min="3" max="3" width="47.5703125" style="12" customWidth="1"/>
    <col min="4" max="4" width="17.42578125" style="325" bestFit="1" customWidth="1"/>
    <col min="5" max="7" width="17.42578125" style="325" customWidth="1"/>
    <col min="8" max="8" width="17.42578125" style="122" customWidth="1"/>
    <col min="9" max="9" width="15.5703125" style="325" customWidth="1"/>
    <col min="10" max="10" width="16" style="325" customWidth="1"/>
    <col min="11" max="11" width="15.7109375" style="325" customWidth="1"/>
    <col min="12" max="12" width="15.85546875" style="122" customWidth="1"/>
    <col min="13" max="13" width="17.42578125" style="122" customWidth="1"/>
    <col min="14" max="14" width="15.85546875" style="122" customWidth="1"/>
    <col min="15" max="15" width="11.42578125" style="123" customWidth="1"/>
    <col min="16" max="16" width="12.28515625" style="12" bestFit="1" customWidth="1"/>
    <col min="17" max="16384" width="11.42578125" style="12"/>
  </cols>
  <sheetData>
    <row r="1" spans="2:15" x14ac:dyDescent="0.3">
      <c r="B1" s="564"/>
      <c r="C1" s="564"/>
      <c r="D1" s="564"/>
      <c r="E1" s="564"/>
      <c r="F1" s="564"/>
      <c r="G1" s="564"/>
      <c r="H1" s="564"/>
      <c r="I1" s="564"/>
      <c r="J1" s="564"/>
      <c r="K1" s="564"/>
      <c r="L1" s="564"/>
      <c r="M1" s="564"/>
      <c r="N1" s="564"/>
      <c r="O1" s="178"/>
    </row>
    <row r="2" spans="2:15" ht="18.75" x14ac:dyDescent="0.3">
      <c r="B2" s="579"/>
      <c r="C2" s="579"/>
      <c r="D2" s="579"/>
      <c r="E2" s="579"/>
      <c r="F2" s="579"/>
      <c r="G2" s="579"/>
      <c r="H2" s="579"/>
      <c r="I2" s="579"/>
      <c r="J2" s="579"/>
      <c r="K2" s="579"/>
      <c r="L2" s="579"/>
      <c r="M2" s="579"/>
      <c r="N2" s="579"/>
      <c r="O2" s="579"/>
    </row>
    <row r="3" spans="2:15" ht="16.5" customHeight="1" x14ac:dyDescent="0.3">
      <c r="B3" s="580"/>
      <c r="C3" s="580"/>
      <c r="D3" s="580"/>
      <c r="E3" s="580"/>
      <c r="F3" s="580"/>
      <c r="G3" s="580"/>
      <c r="H3" s="580"/>
      <c r="I3" s="580"/>
      <c r="J3" s="580"/>
      <c r="K3" s="580"/>
      <c r="L3" s="580"/>
      <c r="M3" s="580"/>
      <c r="N3" s="580"/>
      <c r="O3" s="580"/>
    </row>
    <row r="4" spans="2:15" x14ac:dyDescent="0.3">
      <c r="B4" s="13"/>
      <c r="C4" s="13"/>
      <c r="D4" s="313"/>
      <c r="E4" s="313"/>
      <c r="F4" s="313"/>
      <c r="G4" s="313"/>
      <c r="H4" s="142"/>
      <c r="I4" s="313"/>
      <c r="J4" s="313"/>
      <c r="K4" s="313"/>
      <c r="L4" s="142"/>
      <c r="M4" s="142"/>
      <c r="N4" s="142"/>
      <c r="O4" s="13"/>
    </row>
    <row r="5" spans="2:15" ht="21.75" customHeight="1" x14ac:dyDescent="0.3">
      <c r="B5" s="569" t="s">
        <v>716</v>
      </c>
      <c r="C5" s="571" t="s">
        <v>717</v>
      </c>
      <c r="D5" s="573" t="s">
        <v>737</v>
      </c>
      <c r="E5" s="566" t="s">
        <v>753</v>
      </c>
      <c r="F5" s="567"/>
      <c r="G5" s="568"/>
      <c r="H5" s="573" t="s">
        <v>757</v>
      </c>
      <c r="I5" s="566" t="s">
        <v>753</v>
      </c>
      <c r="J5" s="567"/>
      <c r="K5" s="568"/>
      <c r="L5" s="573" t="s">
        <v>798</v>
      </c>
      <c r="M5" s="573" t="s">
        <v>799</v>
      </c>
      <c r="N5" s="576" t="s">
        <v>1103</v>
      </c>
      <c r="O5" s="577" t="s">
        <v>728</v>
      </c>
    </row>
    <row r="6" spans="2:15" s="123" customFormat="1" ht="45.75" customHeight="1" x14ac:dyDescent="0.3">
      <c r="B6" s="570"/>
      <c r="C6" s="572"/>
      <c r="D6" s="574"/>
      <c r="E6" s="327" t="s">
        <v>754</v>
      </c>
      <c r="F6" s="327" t="s">
        <v>755</v>
      </c>
      <c r="G6" s="327" t="s">
        <v>756</v>
      </c>
      <c r="H6" s="575"/>
      <c r="I6" s="377" t="s">
        <v>795</v>
      </c>
      <c r="J6" s="377" t="s">
        <v>797</v>
      </c>
      <c r="K6" s="377" t="s">
        <v>796</v>
      </c>
      <c r="L6" s="575"/>
      <c r="M6" s="575"/>
      <c r="N6" s="576"/>
      <c r="O6" s="578"/>
    </row>
    <row r="7" spans="2:15" s="123" customFormat="1" ht="4.5" customHeight="1" thickBot="1" x14ac:dyDescent="0.35">
      <c r="B7" s="156"/>
      <c r="C7" s="157"/>
      <c r="D7" s="314"/>
      <c r="E7" s="326"/>
      <c r="F7" s="326"/>
      <c r="G7" s="326"/>
      <c r="H7" s="158"/>
      <c r="I7" s="326"/>
      <c r="J7" s="326"/>
      <c r="K7" s="326"/>
      <c r="L7" s="158"/>
      <c r="M7" s="158"/>
      <c r="N7" s="279"/>
      <c r="O7" s="159"/>
    </row>
    <row r="8" spans="2:15" ht="18.75" customHeight="1" thickBot="1" x14ac:dyDescent="0.35">
      <c r="B8" s="153"/>
      <c r="C8" s="154" t="s">
        <v>151</v>
      </c>
      <c r="D8" s="315">
        <f>+D10+D27</f>
        <v>1607723514.3599999</v>
      </c>
      <c r="E8" s="155">
        <f>+E10+E27</f>
        <v>181175939.97999999</v>
      </c>
      <c r="F8" s="155">
        <f t="shared" ref="F8:G8" si="0">+F10+F27</f>
        <v>269649280.43000007</v>
      </c>
      <c r="G8" s="155">
        <f t="shared" si="0"/>
        <v>106402756.78</v>
      </c>
      <c r="H8" s="155">
        <f>+H10+H27</f>
        <v>557227977.18999994</v>
      </c>
      <c r="I8" s="155">
        <f>+I10+I27</f>
        <v>182366684.47</v>
      </c>
      <c r="J8" s="155">
        <f t="shared" ref="J8:K8" si="1">+J10+J27</f>
        <v>102693900.48</v>
      </c>
      <c r="K8" s="155">
        <f t="shared" si="1"/>
        <v>104174126.03</v>
      </c>
      <c r="L8" s="155">
        <f>+L10+L27</f>
        <v>389234710.98000002</v>
      </c>
      <c r="M8" s="155">
        <f>+H8+L8</f>
        <v>946462688.16999996</v>
      </c>
      <c r="N8" s="155">
        <f>+D8-M8</f>
        <v>661260826.18999994</v>
      </c>
      <c r="O8" s="197">
        <f>+M8/D8</f>
        <v>0.58869742198599762</v>
      </c>
    </row>
    <row r="9" spans="2:15" s="123" customFormat="1" ht="4.5" customHeight="1" x14ac:dyDescent="0.3">
      <c r="B9" s="156"/>
      <c r="C9" s="157"/>
      <c r="D9" s="314"/>
      <c r="E9" s="326"/>
      <c r="F9" s="326"/>
      <c r="G9" s="326"/>
      <c r="H9" s="158"/>
      <c r="I9" s="326"/>
      <c r="J9" s="326"/>
      <c r="K9" s="326"/>
      <c r="L9" s="158"/>
      <c r="M9" s="158"/>
      <c r="N9" s="279"/>
      <c r="O9" s="198"/>
    </row>
    <row r="10" spans="2:15" s="123" customFormat="1" ht="18.75" customHeight="1" x14ac:dyDescent="0.3">
      <c r="B10" s="161" t="s">
        <v>152</v>
      </c>
      <c r="C10" s="162" t="s">
        <v>153</v>
      </c>
      <c r="D10" s="316">
        <f>+D14+D18+D25</f>
        <v>0</v>
      </c>
      <c r="E10" s="163">
        <f>+E14+E18+E25</f>
        <v>902034.38</v>
      </c>
      <c r="F10" s="163">
        <f t="shared" ref="F10:G10" si="2">+F14+F18+F25</f>
        <v>479641.97</v>
      </c>
      <c r="G10" s="163">
        <f t="shared" si="2"/>
        <v>4613144.7</v>
      </c>
      <c r="H10" s="163">
        <f>+H14+H18+H25</f>
        <v>5994821.0499999998</v>
      </c>
      <c r="I10" s="163">
        <f>+I14+I18+I25</f>
        <v>741891.96000000008</v>
      </c>
      <c r="J10" s="163">
        <f t="shared" ref="J10:K10" si="3">+J14+J18+J25</f>
        <v>904288.4</v>
      </c>
      <c r="K10" s="163">
        <f t="shared" si="3"/>
        <v>428258.33</v>
      </c>
      <c r="L10" s="163">
        <f>+L14+L18+L25</f>
        <v>2074438.6900000002</v>
      </c>
      <c r="M10" s="163">
        <f>+H10+L10</f>
        <v>8069259.7400000002</v>
      </c>
      <c r="N10" s="163">
        <f>+D10-M10</f>
        <v>-8069259.7400000002</v>
      </c>
      <c r="O10" s="195">
        <v>1</v>
      </c>
    </row>
    <row r="11" spans="2:15" s="123" customFormat="1" ht="4.5" customHeight="1" x14ac:dyDescent="0.3">
      <c r="B11" s="156"/>
      <c r="C11" s="157"/>
      <c r="D11" s="314"/>
      <c r="E11" s="314"/>
      <c r="F11" s="314"/>
      <c r="G11" s="314"/>
      <c r="H11" s="160"/>
      <c r="I11" s="314"/>
      <c r="J11" s="314"/>
      <c r="K11" s="314"/>
      <c r="L11" s="160"/>
      <c r="M11" s="160"/>
      <c r="N11" s="160"/>
      <c r="O11" s="198"/>
    </row>
    <row r="12" spans="2:15" s="144" customFormat="1" ht="14.25" customHeight="1" x14ac:dyDescent="0.25">
      <c r="B12" s="200" t="s">
        <v>719</v>
      </c>
      <c r="C12" s="328" t="s">
        <v>720</v>
      </c>
      <c r="D12" s="329"/>
      <c r="E12" s="329"/>
      <c r="F12" s="329"/>
      <c r="G12" s="329"/>
      <c r="H12" s="330"/>
      <c r="I12" s="329"/>
      <c r="J12" s="329"/>
      <c r="K12" s="329"/>
      <c r="L12" s="330"/>
      <c r="M12" s="330"/>
      <c r="N12" s="330"/>
      <c r="O12" s="331"/>
    </row>
    <row r="13" spans="2:15" s="123" customFormat="1" ht="4.5" customHeight="1" x14ac:dyDescent="0.3">
      <c r="B13" s="156"/>
      <c r="C13" s="157"/>
      <c r="D13" s="332"/>
      <c r="E13" s="314"/>
      <c r="F13" s="314"/>
      <c r="G13" s="314"/>
      <c r="H13" s="160"/>
      <c r="I13" s="314"/>
      <c r="J13" s="314"/>
      <c r="K13" s="314"/>
      <c r="L13" s="160"/>
      <c r="M13" s="160"/>
      <c r="N13" s="160"/>
      <c r="O13" s="198"/>
    </row>
    <row r="14" spans="2:15" s="144" customFormat="1" ht="33" x14ac:dyDescent="0.25">
      <c r="B14" s="145" t="s">
        <v>718</v>
      </c>
      <c r="C14" s="146" t="s">
        <v>721</v>
      </c>
      <c r="D14" s="333">
        <v>0</v>
      </c>
      <c r="E14" s="317">
        <v>0.31</v>
      </c>
      <c r="F14" s="317">
        <v>0.31</v>
      </c>
      <c r="G14" s="317">
        <v>0.42</v>
      </c>
      <c r="H14" s="149">
        <f>SUM(E14:G14)</f>
        <v>1.04</v>
      </c>
      <c r="I14" s="317">
        <v>0.3</v>
      </c>
      <c r="J14" s="317">
        <v>0.31</v>
      </c>
      <c r="K14" s="317">
        <v>0</v>
      </c>
      <c r="L14" s="149">
        <f>SUM(I14:K14)</f>
        <v>0.61</v>
      </c>
      <c r="M14" s="280">
        <f>+H14+L14</f>
        <v>1.65</v>
      </c>
      <c r="N14" s="280">
        <f>+D14-M14</f>
        <v>-1.65</v>
      </c>
      <c r="O14" s="199">
        <v>1</v>
      </c>
    </row>
    <row r="15" spans="2:15" s="123" customFormat="1" ht="4.5" customHeight="1" x14ac:dyDescent="0.3">
      <c r="B15" s="156"/>
      <c r="C15" s="157"/>
      <c r="D15" s="332"/>
      <c r="E15" s="314"/>
      <c r="F15" s="314"/>
      <c r="G15" s="314"/>
      <c r="H15" s="160"/>
      <c r="I15" s="314"/>
      <c r="J15" s="314"/>
      <c r="K15" s="314"/>
      <c r="L15" s="160"/>
      <c r="M15" s="279"/>
      <c r="N15" s="279"/>
      <c r="O15" s="198"/>
    </row>
    <row r="16" spans="2:15" s="144" customFormat="1" ht="14.25" customHeight="1" x14ac:dyDescent="0.25">
      <c r="B16" s="200" t="s">
        <v>154</v>
      </c>
      <c r="C16" s="328" t="s">
        <v>155</v>
      </c>
      <c r="D16" s="329"/>
      <c r="E16" s="329"/>
      <c r="F16" s="329"/>
      <c r="G16" s="329"/>
      <c r="H16" s="330"/>
      <c r="I16" s="329"/>
      <c r="J16" s="329"/>
      <c r="K16" s="329"/>
      <c r="L16" s="330"/>
      <c r="M16" s="330"/>
      <c r="N16" s="330"/>
      <c r="O16" s="331"/>
    </row>
    <row r="17" spans="2:16" s="123" customFormat="1" ht="4.5" customHeight="1" x14ac:dyDescent="0.3">
      <c r="B17" s="156"/>
      <c r="C17" s="157"/>
      <c r="D17" s="332"/>
      <c r="E17" s="314"/>
      <c r="F17" s="314"/>
      <c r="G17" s="314"/>
      <c r="H17" s="160"/>
      <c r="I17" s="314"/>
      <c r="J17" s="314"/>
      <c r="K17" s="314"/>
      <c r="L17" s="160"/>
      <c r="M17" s="279"/>
      <c r="N17" s="279"/>
      <c r="O17" s="198"/>
    </row>
    <row r="18" spans="2:16" s="381" customFormat="1" ht="18.75" customHeight="1" x14ac:dyDescent="0.3">
      <c r="B18" s="143" t="s">
        <v>710</v>
      </c>
      <c r="C18" s="137" t="s">
        <v>711</v>
      </c>
      <c r="D18" s="334">
        <f>SUM(D19:D23)</f>
        <v>0</v>
      </c>
      <c r="E18" s="147">
        <f>SUM(E19:E22)</f>
        <v>902034.07</v>
      </c>
      <c r="F18" s="147">
        <f>SUM(F19:F23)</f>
        <v>479641.66</v>
      </c>
      <c r="G18" s="147">
        <f>SUM(G19:G23)</f>
        <v>4613144.28</v>
      </c>
      <c r="H18" s="147">
        <f>SUM(H19:H22)</f>
        <v>5994820.0099999998</v>
      </c>
      <c r="I18" s="147">
        <f>SUM(I19:I22)</f>
        <v>741891.66</v>
      </c>
      <c r="J18" s="147">
        <f>SUM(J19:J23)</f>
        <v>904288.09</v>
      </c>
      <c r="K18" s="147">
        <f>SUM(K19:K23)</f>
        <v>428258.33</v>
      </c>
      <c r="L18" s="147">
        <f>SUM(L19:L22)</f>
        <v>2074438.08</v>
      </c>
      <c r="M18" s="196">
        <f>+H18+L18</f>
        <v>8069258.0899999999</v>
      </c>
      <c r="N18" s="196">
        <f>+D18-M18</f>
        <v>-8069258.0899999999</v>
      </c>
      <c r="O18" s="194">
        <v>1</v>
      </c>
    </row>
    <row r="19" spans="2:16" s="381" customFormat="1" ht="18.75" customHeight="1" x14ac:dyDescent="0.3">
      <c r="B19" s="140"/>
      <c r="C19" s="124" t="s">
        <v>8</v>
      </c>
      <c r="D19" s="335"/>
      <c r="E19" s="319">
        <f>902034.07-E22</f>
        <v>848034.07</v>
      </c>
      <c r="F19" s="319">
        <f>479641.66</f>
        <v>479641.66</v>
      </c>
      <c r="G19" s="319">
        <v>4343559.95</v>
      </c>
      <c r="H19" s="150">
        <f>SUM(E19:G19)</f>
        <v>5671235.6799999997</v>
      </c>
      <c r="I19" s="319">
        <v>741891.66</v>
      </c>
      <c r="J19" s="319">
        <f>904288.09-J20</f>
        <v>754288.09</v>
      </c>
      <c r="K19" s="319"/>
      <c r="L19" s="150">
        <f>SUM(I19:K19)</f>
        <v>1496179.75</v>
      </c>
      <c r="M19" s="281">
        <f>+H19+L19</f>
        <v>7167415.4299999997</v>
      </c>
      <c r="N19" s="281">
        <f>+D19-M19</f>
        <v>-7167415.4299999997</v>
      </c>
      <c r="O19" s="193">
        <v>1</v>
      </c>
      <c r="P19" s="382"/>
    </row>
    <row r="20" spans="2:16" s="381" customFormat="1" ht="18.75" customHeight="1" x14ac:dyDescent="0.3">
      <c r="B20" s="140"/>
      <c r="C20" s="124" t="s">
        <v>12</v>
      </c>
      <c r="D20" s="335"/>
      <c r="E20" s="319"/>
      <c r="F20" s="319"/>
      <c r="G20" s="319">
        <f>127584.33+142000</f>
        <v>269584.33</v>
      </c>
      <c r="H20" s="150">
        <f t="shared" ref="H20:H23" si="4">SUM(E20:G20)</f>
        <v>269584.33</v>
      </c>
      <c r="I20" s="319"/>
      <c r="J20" s="319">
        <v>150000</v>
      </c>
      <c r="K20" s="319">
        <v>428258.33</v>
      </c>
      <c r="L20" s="150">
        <f t="shared" ref="L20:L23" si="5">SUM(I20:K20)</f>
        <v>578258.33000000007</v>
      </c>
      <c r="M20" s="281">
        <f t="shared" ref="M20:M22" si="6">+H20+L20</f>
        <v>847842.66000000015</v>
      </c>
      <c r="N20" s="281">
        <f t="shared" ref="N20:N22" si="7">+D20-M20</f>
        <v>-847842.66000000015</v>
      </c>
      <c r="O20" s="193">
        <v>1</v>
      </c>
    </row>
    <row r="21" spans="2:16" s="381" customFormat="1" ht="18.75" hidden="1" customHeight="1" x14ac:dyDescent="0.3">
      <c r="B21" s="140"/>
      <c r="C21" s="124" t="s">
        <v>746</v>
      </c>
      <c r="D21" s="335"/>
      <c r="E21" s="319"/>
      <c r="F21" s="319"/>
      <c r="G21" s="319"/>
      <c r="H21" s="150">
        <f t="shared" si="4"/>
        <v>0</v>
      </c>
      <c r="I21" s="319"/>
      <c r="J21" s="319"/>
      <c r="K21" s="319"/>
      <c r="L21" s="150">
        <f t="shared" si="5"/>
        <v>0</v>
      </c>
      <c r="M21" s="281">
        <f t="shared" si="6"/>
        <v>0</v>
      </c>
      <c r="N21" s="281">
        <f t="shared" si="7"/>
        <v>0</v>
      </c>
      <c r="O21" s="193"/>
    </row>
    <row r="22" spans="2:16" s="381" customFormat="1" ht="18.75" customHeight="1" x14ac:dyDescent="0.3">
      <c r="B22" s="140"/>
      <c r="C22" s="124" t="s">
        <v>726</v>
      </c>
      <c r="D22" s="335"/>
      <c r="E22" s="319">
        <v>54000</v>
      </c>
      <c r="F22" s="150"/>
      <c r="G22" s="319">
        <v>0</v>
      </c>
      <c r="H22" s="150">
        <f t="shared" si="4"/>
        <v>54000</v>
      </c>
      <c r="I22" s="319"/>
      <c r="J22" s="150"/>
      <c r="K22" s="319">
        <v>0</v>
      </c>
      <c r="L22" s="150">
        <f t="shared" si="5"/>
        <v>0</v>
      </c>
      <c r="M22" s="281">
        <f t="shared" si="6"/>
        <v>54000</v>
      </c>
      <c r="N22" s="281">
        <f t="shared" si="7"/>
        <v>-54000</v>
      </c>
      <c r="O22" s="193">
        <v>1</v>
      </c>
    </row>
    <row r="23" spans="2:16" s="123" customFormat="1" ht="18.75" hidden="1" customHeight="1" x14ac:dyDescent="0.3">
      <c r="B23" s="140"/>
      <c r="C23" s="124" t="s">
        <v>745</v>
      </c>
      <c r="D23" s="335"/>
      <c r="E23" s="319"/>
      <c r="F23" s="319"/>
      <c r="G23" s="319"/>
      <c r="H23" s="150">
        <f t="shared" si="4"/>
        <v>0</v>
      </c>
      <c r="I23" s="319"/>
      <c r="J23" s="319"/>
      <c r="K23" s="319"/>
      <c r="L23" s="150">
        <f t="shared" si="5"/>
        <v>0</v>
      </c>
      <c r="M23" s="281"/>
      <c r="N23" s="281">
        <f t="shared" ref="N23" si="8">+D23-H23</f>
        <v>0</v>
      </c>
      <c r="O23" s="193">
        <v>1</v>
      </c>
    </row>
    <row r="24" spans="2:16" s="123" customFormat="1" ht="12.75" hidden="1" customHeight="1" x14ac:dyDescent="0.3">
      <c r="B24" s="156"/>
      <c r="C24" s="157"/>
      <c r="D24" s="332"/>
      <c r="E24" s="314"/>
      <c r="F24" s="314"/>
      <c r="G24" s="314"/>
      <c r="H24" s="160"/>
      <c r="I24" s="314"/>
      <c r="J24" s="314"/>
      <c r="K24" s="314"/>
      <c r="L24" s="160"/>
      <c r="M24" s="279"/>
      <c r="N24" s="281"/>
      <c r="O24" s="198"/>
    </row>
    <row r="25" spans="2:16" ht="17.25" hidden="1" customHeight="1" x14ac:dyDescent="0.3">
      <c r="B25" s="143" t="s">
        <v>712</v>
      </c>
      <c r="C25" s="137" t="s">
        <v>713</v>
      </c>
      <c r="D25" s="334">
        <v>0</v>
      </c>
      <c r="E25" s="318"/>
      <c r="F25" s="318"/>
      <c r="G25" s="318"/>
      <c r="H25" s="147"/>
      <c r="I25" s="318"/>
      <c r="J25" s="318"/>
      <c r="K25" s="318"/>
      <c r="L25" s="147"/>
      <c r="M25" s="147"/>
      <c r="N25" s="147"/>
      <c r="O25" s="193">
        <v>1</v>
      </c>
    </row>
    <row r="26" spans="2:16" s="123" customFormat="1" ht="4.5" customHeight="1" x14ac:dyDescent="0.3">
      <c r="B26" s="156"/>
      <c r="C26" s="157"/>
      <c r="D26" s="314"/>
      <c r="E26" s="314"/>
      <c r="F26" s="314"/>
      <c r="G26" s="314"/>
      <c r="H26" s="160"/>
      <c r="I26" s="314"/>
      <c r="J26" s="314"/>
      <c r="K26" s="314"/>
      <c r="L26" s="160"/>
      <c r="M26" s="160"/>
      <c r="N26" s="160"/>
      <c r="O26" s="159"/>
    </row>
    <row r="27" spans="2:16" ht="15.75" customHeight="1" x14ac:dyDescent="0.3">
      <c r="B27" s="161" t="s">
        <v>156</v>
      </c>
      <c r="C27" s="162" t="s">
        <v>5</v>
      </c>
      <c r="D27" s="316">
        <f t="shared" ref="D27:G27" si="9">+D31+D37</f>
        <v>1607723514.3599999</v>
      </c>
      <c r="E27" s="163">
        <f t="shared" si="9"/>
        <v>180273905.59999999</v>
      </c>
      <c r="F27" s="163">
        <f t="shared" si="9"/>
        <v>269169638.46000004</v>
      </c>
      <c r="G27" s="163">
        <f t="shared" si="9"/>
        <v>101789612.08</v>
      </c>
      <c r="H27" s="163">
        <f>+H31+H37</f>
        <v>551233156.13999999</v>
      </c>
      <c r="I27" s="163">
        <f>+I31+I37</f>
        <v>181624792.50999999</v>
      </c>
      <c r="J27" s="163">
        <f t="shared" ref="J27:L27" si="10">+J31+J37</f>
        <v>101789612.08</v>
      </c>
      <c r="K27" s="163">
        <f t="shared" si="10"/>
        <v>103745867.7</v>
      </c>
      <c r="L27" s="163">
        <f t="shared" si="10"/>
        <v>387160272.29000002</v>
      </c>
      <c r="M27" s="163">
        <f>+H27+L27</f>
        <v>938393428.43000007</v>
      </c>
      <c r="N27" s="163">
        <f>+N31+N37</f>
        <v>669330085.92999995</v>
      </c>
      <c r="O27" s="195">
        <f>+M27/D27</f>
        <v>0.58367836263410888</v>
      </c>
    </row>
    <row r="28" spans="2:16" s="123" customFormat="1" ht="4.5" customHeight="1" x14ac:dyDescent="0.3">
      <c r="B28" s="156" t="s">
        <v>157</v>
      </c>
      <c r="C28" s="157" t="s">
        <v>157</v>
      </c>
      <c r="D28" s="314"/>
      <c r="E28" s="314"/>
      <c r="F28" s="314"/>
      <c r="G28" s="314"/>
      <c r="H28" s="160"/>
      <c r="I28" s="314"/>
      <c r="J28" s="314"/>
      <c r="K28" s="314"/>
      <c r="L28" s="160"/>
      <c r="M28" s="160"/>
      <c r="N28" s="160"/>
      <c r="O28" s="159"/>
    </row>
    <row r="29" spans="2:16" s="144" customFormat="1" ht="14.25" customHeight="1" x14ac:dyDescent="0.25">
      <c r="B29" s="200" t="s">
        <v>158</v>
      </c>
      <c r="C29" s="328" t="s">
        <v>159</v>
      </c>
      <c r="D29" s="329"/>
      <c r="E29" s="329"/>
      <c r="F29" s="329"/>
      <c r="G29" s="329"/>
      <c r="H29" s="330"/>
      <c r="I29" s="329"/>
      <c r="J29" s="329"/>
      <c r="K29" s="329"/>
      <c r="L29" s="330"/>
      <c r="M29" s="330"/>
      <c r="N29" s="330"/>
      <c r="O29" s="331"/>
    </row>
    <row r="30" spans="2:16" s="123" customFormat="1" ht="4.5" customHeight="1" x14ac:dyDescent="0.3">
      <c r="B30" s="156"/>
      <c r="C30" s="157"/>
      <c r="D30" s="314"/>
      <c r="E30" s="314"/>
      <c r="F30" s="314"/>
      <c r="G30" s="314"/>
      <c r="H30" s="160"/>
      <c r="I30" s="314"/>
      <c r="J30" s="314"/>
      <c r="K30" s="314"/>
      <c r="L30" s="160"/>
      <c r="M30" s="160"/>
      <c r="N30" s="160"/>
      <c r="O30" s="159"/>
    </row>
    <row r="31" spans="2:16" ht="15" customHeight="1" x14ac:dyDescent="0.3">
      <c r="B31" s="136" t="s">
        <v>160</v>
      </c>
      <c r="C31" s="137" t="s">
        <v>161</v>
      </c>
      <c r="D31" s="320">
        <f>SUM(D32:D35)</f>
        <v>1604027213.01</v>
      </c>
      <c r="E31" s="147">
        <f>SUM(E32:E35)</f>
        <v>180273905.59999999</v>
      </c>
      <c r="F31" s="147">
        <f t="shared" ref="F31:G31" si="11">SUM(F32:F35)</f>
        <v>269169638.46000004</v>
      </c>
      <c r="G31" s="147">
        <f t="shared" si="11"/>
        <v>101789612.08</v>
      </c>
      <c r="H31" s="147">
        <f>SUM(H32:H35)</f>
        <v>551233156.13999999</v>
      </c>
      <c r="I31" s="147">
        <f>SUM(I32:I35)</f>
        <v>178528491.16</v>
      </c>
      <c r="J31" s="147">
        <f t="shared" ref="J31:K31" si="12">SUM(J32:J35)</f>
        <v>101789612.08</v>
      </c>
      <c r="K31" s="147">
        <f t="shared" si="12"/>
        <v>100876223.11</v>
      </c>
      <c r="L31" s="147">
        <f>SUM(L32:L35)</f>
        <v>381194326.35000002</v>
      </c>
      <c r="M31" s="147">
        <f>+H31+L31</f>
        <v>932427482.49000001</v>
      </c>
      <c r="N31" s="147">
        <f>+D31-M31</f>
        <v>671599730.51999998</v>
      </c>
      <c r="O31" s="194">
        <f>+M31/D31</f>
        <v>0.58130402958705096</v>
      </c>
    </row>
    <row r="32" spans="2:16" ht="15.75" customHeight="1" x14ac:dyDescent="0.3">
      <c r="B32" s="136"/>
      <c r="C32" s="124" t="s">
        <v>162</v>
      </c>
      <c r="D32" s="321">
        <f>1249880479.8-6393722.8</f>
        <v>1243486757</v>
      </c>
      <c r="E32" s="321">
        <v>136248147.59999999</v>
      </c>
      <c r="F32" s="321">
        <v>111008200.36</v>
      </c>
      <c r="G32" s="321">
        <v>93628173.980000004</v>
      </c>
      <c r="H32" s="148">
        <f>SUM(E32:G32)</f>
        <v>340884521.94</v>
      </c>
      <c r="I32" s="321">
        <v>93628173.980000004</v>
      </c>
      <c r="J32" s="321">
        <v>93628173.980000004</v>
      </c>
      <c r="K32" s="321">
        <v>92714785.010000005</v>
      </c>
      <c r="L32" s="148">
        <f>SUM(I32:K32)</f>
        <v>279971132.97000003</v>
      </c>
      <c r="M32" s="148">
        <f>+H32+L32</f>
        <v>620855654.91000009</v>
      </c>
      <c r="N32" s="150">
        <f t="shared" ref="N32:N36" si="13">+D32-M32</f>
        <v>622631102.08999991</v>
      </c>
      <c r="O32" s="193">
        <f>+M32/D32</f>
        <v>0.49928610129138679</v>
      </c>
      <c r="P32" s="124"/>
    </row>
    <row r="33" spans="2:15" ht="15.75" customHeight="1" x14ac:dyDescent="0.3">
      <c r="B33" s="136"/>
      <c r="C33" s="124" t="s">
        <v>163</v>
      </c>
      <c r="D33" s="321">
        <f>430371839.01-167768640.01</f>
        <v>262603199</v>
      </c>
      <c r="E33" s="321">
        <v>35864319.920000002</v>
      </c>
      <c r="F33" s="321">
        <v>150000000</v>
      </c>
      <c r="G33" s="321">
        <v>0</v>
      </c>
      <c r="H33" s="148">
        <f t="shared" ref="H33:H34" si="14">SUM(E33:G33)</f>
        <v>185864319.92000002</v>
      </c>
      <c r="I33" s="321">
        <v>76738879.079999998</v>
      </c>
      <c r="J33" s="321">
        <v>0</v>
      </c>
      <c r="K33" s="321">
        <v>0</v>
      </c>
      <c r="L33" s="148">
        <f t="shared" ref="L33:L34" si="15">SUM(I33:K33)</f>
        <v>76738879.079999998</v>
      </c>
      <c r="M33" s="148">
        <f t="shared" ref="M33:M35" si="16">+H33+L33</f>
        <v>262603199</v>
      </c>
      <c r="N33" s="150">
        <f t="shared" si="13"/>
        <v>0</v>
      </c>
      <c r="O33" s="193">
        <f t="shared" ref="O33:O34" si="17">+M33/D33</f>
        <v>1</v>
      </c>
    </row>
    <row r="34" spans="2:15" s="123" customFormat="1" ht="15.75" customHeight="1" x14ac:dyDescent="0.3">
      <c r="B34" s="136"/>
      <c r="C34" s="124" t="s">
        <v>127</v>
      </c>
      <c r="D34" s="321">
        <v>97937257.010000005</v>
      </c>
      <c r="E34" s="321">
        <v>8161438.0800000001</v>
      </c>
      <c r="F34" s="321">
        <v>8161438.0999999996</v>
      </c>
      <c r="G34" s="321">
        <v>8161438.0999999996</v>
      </c>
      <c r="H34" s="148">
        <f t="shared" si="14"/>
        <v>24484314.280000001</v>
      </c>
      <c r="I34" s="321">
        <v>8161438.0999999996</v>
      </c>
      <c r="J34" s="321">
        <v>8161438.0999999996</v>
      </c>
      <c r="K34" s="321">
        <v>8161438.0999999996</v>
      </c>
      <c r="L34" s="148">
        <f t="shared" si="15"/>
        <v>24484314.299999997</v>
      </c>
      <c r="M34" s="148">
        <f t="shared" si="16"/>
        <v>48968628.579999998</v>
      </c>
      <c r="N34" s="150">
        <f t="shared" si="13"/>
        <v>48968628.430000007</v>
      </c>
      <c r="O34" s="193">
        <f t="shared" si="17"/>
        <v>0.50000000076579632</v>
      </c>
    </row>
    <row r="35" spans="2:15" ht="15.75" customHeight="1" x14ac:dyDescent="0.3">
      <c r="B35" s="136"/>
      <c r="C35" s="124" t="s">
        <v>164</v>
      </c>
      <c r="D35" s="321">
        <f>50000000-50000000</f>
        <v>0</v>
      </c>
      <c r="E35" s="321">
        <v>0</v>
      </c>
      <c r="F35" s="321">
        <v>0</v>
      </c>
      <c r="G35" s="321">
        <v>0</v>
      </c>
      <c r="H35" s="150">
        <v>0</v>
      </c>
      <c r="I35" s="321">
        <v>0</v>
      </c>
      <c r="J35" s="321">
        <v>0</v>
      </c>
      <c r="K35" s="321">
        <v>0</v>
      </c>
      <c r="L35" s="150">
        <v>0</v>
      </c>
      <c r="M35" s="148">
        <f t="shared" si="16"/>
        <v>0</v>
      </c>
      <c r="N35" s="150">
        <f t="shared" si="13"/>
        <v>0</v>
      </c>
      <c r="O35" s="193">
        <v>0</v>
      </c>
    </row>
    <row r="36" spans="2:15" s="123" customFormat="1" ht="4.5" customHeight="1" x14ac:dyDescent="0.3">
      <c r="B36" s="156"/>
      <c r="C36" s="157"/>
      <c r="D36" s="322"/>
      <c r="E36" s="322"/>
      <c r="F36" s="322"/>
      <c r="G36" s="322"/>
      <c r="H36" s="160"/>
      <c r="I36" s="322"/>
      <c r="J36" s="322"/>
      <c r="K36" s="322"/>
      <c r="L36" s="160"/>
      <c r="M36" s="160"/>
      <c r="N36" s="147">
        <f t="shared" si="13"/>
        <v>0</v>
      </c>
      <c r="O36" s="193"/>
    </row>
    <row r="37" spans="2:15" ht="33" x14ac:dyDescent="0.3">
      <c r="B37" s="151" t="s">
        <v>165</v>
      </c>
      <c r="C37" s="146" t="s">
        <v>166</v>
      </c>
      <c r="D37" s="323">
        <v>3696301.35</v>
      </c>
      <c r="E37" s="323">
        <v>0</v>
      </c>
      <c r="F37" s="323">
        <v>0</v>
      </c>
      <c r="G37" s="323">
        <v>0</v>
      </c>
      <c r="H37" s="152">
        <f>SUM(E37:G37)</f>
        <v>0</v>
      </c>
      <c r="I37" s="323">
        <v>3096301.35</v>
      </c>
      <c r="J37" s="323">
        <v>0</v>
      </c>
      <c r="K37" s="323">
        <v>2869644.59</v>
      </c>
      <c r="L37" s="152">
        <f>SUM(I37:K37)</f>
        <v>5965945.9399999995</v>
      </c>
      <c r="M37" s="152">
        <f>+H37+L37</f>
        <v>5965945.9399999995</v>
      </c>
      <c r="N37" s="149">
        <f>+D37-M37</f>
        <v>-2269644.5899999994</v>
      </c>
      <c r="O37" s="380">
        <v>1</v>
      </c>
    </row>
    <row r="38" spans="2:15" s="123" customFormat="1" ht="4.5" customHeight="1" thickBot="1" x14ac:dyDescent="0.35">
      <c r="B38" s="156"/>
      <c r="C38" s="157"/>
      <c r="D38" s="314"/>
      <c r="E38" s="314"/>
      <c r="F38" s="314"/>
      <c r="G38" s="314"/>
      <c r="H38" s="160"/>
      <c r="I38" s="314"/>
      <c r="J38" s="314"/>
      <c r="K38" s="314"/>
      <c r="L38" s="160"/>
      <c r="M38" s="160"/>
      <c r="N38" s="150"/>
      <c r="O38" s="159"/>
    </row>
    <row r="39" spans="2:15" ht="18" customHeight="1" thickBot="1" x14ac:dyDescent="0.35">
      <c r="B39" s="153" t="s">
        <v>167</v>
      </c>
      <c r="C39" s="154" t="s">
        <v>168</v>
      </c>
      <c r="D39" s="315">
        <f t="shared" ref="D39" si="18">+D41</f>
        <v>230177370.96999997</v>
      </c>
      <c r="E39" s="315"/>
      <c r="F39" s="315"/>
      <c r="G39" s="315">
        <f>+G41</f>
        <v>836769919.83000004</v>
      </c>
      <c r="H39" s="261">
        <f>+H41</f>
        <v>836769919.83000004</v>
      </c>
      <c r="I39" s="315"/>
      <c r="J39" s="315"/>
      <c r="K39" s="315">
        <f>+K41</f>
        <v>0</v>
      </c>
      <c r="L39" s="261">
        <f>+L41</f>
        <v>0</v>
      </c>
      <c r="M39" s="261">
        <f>+H39+L39</f>
        <v>836769919.83000004</v>
      </c>
      <c r="N39" s="155">
        <f>+N41</f>
        <v>-606592548.86000001</v>
      </c>
      <c r="O39" s="197">
        <v>1</v>
      </c>
    </row>
    <row r="40" spans="2:15" s="123" customFormat="1" ht="4.5" customHeight="1" x14ac:dyDescent="0.3">
      <c r="B40" s="156"/>
      <c r="C40" s="157"/>
      <c r="D40" s="314"/>
      <c r="E40" s="314"/>
      <c r="F40" s="314"/>
      <c r="G40" s="314"/>
      <c r="H40" s="262"/>
      <c r="I40" s="314"/>
      <c r="J40" s="314"/>
      <c r="K40" s="314"/>
      <c r="L40" s="262"/>
      <c r="M40" s="262"/>
      <c r="N40" s="160"/>
      <c r="O40" s="159"/>
    </row>
    <row r="41" spans="2:15" ht="14.25" customHeight="1" x14ac:dyDescent="0.3">
      <c r="B41" s="161" t="s">
        <v>169</v>
      </c>
      <c r="C41" s="162" t="s">
        <v>170</v>
      </c>
      <c r="D41" s="316">
        <f>+D43+D45</f>
        <v>230177370.96999997</v>
      </c>
      <c r="E41" s="316">
        <f t="shared" ref="E41:F41" si="19">+E43+E45</f>
        <v>0</v>
      </c>
      <c r="F41" s="316">
        <f t="shared" si="19"/>
        <v>0</v>
      </c>
      <c r="G41" s="316">
        <f>+G43+G45</f>
        <v>836769919.83000004</v>
      </c>
      <c r="H41" s="263">
        <f>+H43+H45</f>
        <v>836769919.83000004</v>
      </c>
      <c r="I41" s="316">
        <f t="shared" ref="I41:J41" si="20">+I43+I45</f>
        <v>0</v>
      </c>
      <c r="J41" s="316">
        <f t="shared" si="20"/>
        <v>0</v>
      </c>
      <c r="K41" s="316">
        <f>+K43+K45</f>
        <v>0</v>
      </c>
      <c r="L41" s="263">
        <f>+L43+L45</f>
        <v>0</v>
      </c>
      <c r="M41" s="263">
        <f>+H41+L41</f>
        <v>836769919.83000004</v>
      </c>
      <c r="N41" s="163">
        <f>+N43+N45</f>
        <v>-606592548.86000001</v>
      </c>
      <c r="O41" s="195">
        <v>1</v>
      </c>
    </row>
    <row r="42" spans="2:15" s="123" customFormat="1" ht="4.5" customHeight="1" x14ac:dyDescent="0.3">
      <c r="B42" s="156"/>
      <c r="C42" s="157"/>
      <c r="D42" s="314"/>
      <c r="E42" s="314"/>
      <c r="F42" s="314"/>
      <c r="G42" s="314"/>
      <c r="H42" s="262"/>
      <c r="I42" s="314"/>
      <c r="J42" s="314"/>
      <c r="K42" s="314"/>
      <c r="L42" s="262"/>
      <c r="M42" s="262"/>
      <c r="N42" s="160"/>
      <c r="O42" s="159"/>
    </row>
    <row r="43" spans="2:15" x14ac:dyDescent="0.3">
      <c r="B43" s="136" t="s">
        <v>171</v>
      </c>
      <c r="C43" s="137" t="s">
        <v>714</v>
      </c>
      <c r="D43" s="320">
        <v>9345481.6999999993</v>
      </c>
      <c r="E43" s="277">
        <v>0</v>
      </c>
      <c r="F43" s="277">
        <v>0</v>
      </c>
      <c r="G43" s="277">
        <v>9345481.6999999993</v>
      </c>
      <c r="H43" s="277">
        <f>SUM(E43:G43)</f>
        <v>9345481.6999999993</v>
      </c>
      <c r="I43" s="277">
        <v>0</v>
      </c>
      <c r="J43" s="277">
        <v>0</v>
      </c>
      <c r="K43" s="277"/>
      <c r="L43" s="277">
        <f>SUM(I43:K43)</f>
        <v>0</v>
      </c>
      <c r="M43" s="277">
        <f>+H43+L43</f>
        <v>9345481.6999999993</v>
      </c>
      <c r="N43" s="147">
        <f>+D43-H43</f>
        <v>0</v>
      </c>
      <c r="O43" s="194">
        <f>+M43/D43</f>
        <v>1</v>
      </c>
    </row>
    <row r="44" spans="2:15" s="123" customFormat="1" ht="4.5" customHeight="1" x14ac:dyDescent="0.3">
      <c r="B44" s="156"/>
      <c r="C44" s="157"/>
      <c r="D44" s="314"/>
      <c r="E44" s="314"/>
      <c r="F44" s="314"/>
      <c r="G44" s="314"/>
      <c r="H44" s="262"/>
      <c r="I44" s="314"/>
      <c r="J44" s="314"/>
      <c r="K44" s="314"/>
      <c r="L44" s="262"/>
      <c r="M44" s="262"/>
      <c r="N44" s="160"/>
      <c r="O44" s="159"/>
    </row>
    <row r="45" spans="2:15" x14ac:dyDescent="0.3">
      <c r="B45" s="136" t="s">
        <v>172</v>
      </c>
      <c r="C45" s="137" t="s">
        <v>715</v>
      </c>
      <c r="D45" s="318">
        <f>SUM(D46:D48)</f>
        <v>220831889.26999998</v>
      </c>
      <c r="E45" s="264">
        <f>SUM(E46:E48)</f>
        <v>0</v>
      </c>
      <c r="F45" s="264">
        <f t="shared" ref="F45:G45" si="21">SUM(F46:F48)</f>
        <v>0</v>
      </c>
      <c r="G45" s="264">
        <f t="shared" si="21"/>
        <v>827424438.13</v>
      </c>
      <c r="H45" s="264">
        <f>SUM(H46:H48)</f>
        <v>827424438.13</v>
      </c>
      <c r="I45" s="264">
        <f>SUM(I46:I48)</f>
        <v>0</v>
      </c>
      <c r="J45" s="264">
        <f t="shared" ref="J45:K45" si="22">SUM(J46:J48)</f>
        <v>0</v>
      </c>
      <c r="K45" s="264">
        <f t="shared" si="22"/>
        <v>0</v>
      </c>
      <c r="L45" s="264">
        <f>SUM(L46:L48)</f>
        <v>0</v>
      </c>
      <c r="M45" s="264">
        <f>+H45+L45</f>
        <v>827424438.13</v>
      </c>
      <c r="N45" s="147">
        <f>SUM(N46:N48)</f>
        <v>-606592548.86000001</v>
      </c>
      <c r="O45" s="194">
        <v>1</v>
      </c>
    </row>
    <row r="46" spans="2:15" x14ac:dyDescent="0.3">
      <c r="B46" s="139"/>
      <c r="C46" s="124" t="s">
        <v>9</v>
      </c>
      <c r="D46" s="319">
        <v>166900820.00999999</v>
      </c>
      <c r="E46" s="319">
        <v>0</v>
      </c>
      <c r="F46" s="319">
        <v>0</v>
      </c>
      <c r="G46" s="319">
        <v>686800483.87</v>
      </c>
      <c r="H46" s="265">
        <f>SUM(E46:G46)</f>
        <v>686800483.87</v>
      </c>
      <c r="I46" s="319">
        <v>0</v>
      </c>
      <c r="J46" s="319">
        <v>0</v>
      </c>
      <c r="K46" s="319"/>
      <c r="L46" s="265">
        <f>SUM(I46:K46)</f>
        <v>0</v>
      </c>
      <c r="M46" s="265">
        <f t="shared" ref="M46:M48" si="23">+H46+L46</f>
        <v>686800483.87</v>
      </c>
      <c r="N46" s="150">
        <f>+D46-H46</f>
        <v>-519899663.86000001</v>
      </c>
      <c r="O46" s="193">
        <v>1</v>
      </c>
    </row>
    <row r="47" spans="2:15" x14ac:dyDescent="0.3">
      <c r="B47" s="139"/>
      <c r="C47" s="124" t="s">
        <v>21</v>
      </c>
      <c r="D47" s="319">
        <v>50867820</v>
      </c>
      <c r="E47" s="319">
        <v>0</v>
      </c>
      <c r="F47" s="319">
        <v>0</v>
      </c>
      <c r="G47" s="319">
        <v>136960705</v>
      </c>
      <c r="H47" s="265">
        <f t="shared" ref="H47:H48" si="24">SUM(E47:G47)</f>
        <v>136960705</v>
      </c>
      <c r="I47" s="319">
        <v>0</v>
      </c>
      <c r="J47" s="319">
        <v>0</v>
      </c>
      <c r="K47" s="319"/>
      <c r="L47" s="265">
        <f t="shared" ref="L47:L48" si="25">SUM(I47:K47)</f>
        <v>0</v>
      </c>
      <c r="M47" s="265">
        <f t="shared" si="23"/>
        <v>136960705</v>
      </c>
      <c r="N47" s="150">
        <f t="shared" ref="N47:N48" si="26">+D47-H47</f>
        <v>-86092885</v>
      </c>
      <c r="O47" s="193">
        <v>1</v>
      </c>
    </row>
    <row r="48" spans="2:15" s="123" customFormat="1" x14ac:dyDescent="0.3">
      <c r="B48" s="139"/>
      <c r="C48" s="124" t="s">
        <v>173</v>
      </c>
      <c r="D48" s="319">
        <v>3063249.26</v>
      </c>
      <c r="E48" s="319">
        <v>0</v>
      </c>
      <c r="F48" s="319">
        <v>0</v>
      </c>
      <c r="G48" s="319">
        <v>3663249.26</v>
      </c>
      <c r="H48" s="265">
        <f t="shared" si="24"/>
        <v>3663249.26</v>
      </c>
      <c r="I48" s="319">
        <v>0</v>
      </c>
      <c r="J48" s="319">
        <v>0</v>
      </c>
      <c r="K48" s="319"/>
      <c r="L48" s="265">
        <f t="shared" si="25"/>
        <v>0</v>
      </c>
      <c r="M48" s="265">
        <f t="shared" si="23"/>
        <v>3663249.26</v>
      </c>
      <c r="N48" s="150">
        <f t="shared" si="26"/>
        <v>-600000</v>
      </c>
      <c r="O48" s="193">
        <v>1</v>
      </c>
    </row>
    <row r="49" spans="2:15" ht="9" customHeight="1" thickBot="1" x14ac:dyDescent="0.35">
      <c r="B49" s="136"/>
      <c r="C49" s="137"/>
      <c r="D49" s="318"/>
      <c r="E49" s="318"/>
      <c r="F49" s="318"/>
      <c r="G49" s="318"/>
      <c r="H49" s="147"/>
      <c r="I49" s="318"/>
      <c r="J49" s="318"/>
      <c r="K49" s="318"/>
      <c r="L49" s="147"/>
      <c r="M49" s="147"/>
      <c r="N49" s="147"/>
      <c r="O49" s="138"/>
    </row>
    <row r="50" spans="2:15" ht="15.75" customHeight="1" thickBot="1" x14ac:dyDescent="0.35">
      <c r="B50" s="141" t="s">
        <v>174</v>
      </c>
      <c r="C50" s="80"/>
      <c r="D50" s="324">
        <f>+D39+D8</f>
        <v>1837900885.3299999</v>
      </c>
      <c r="E50" s="324">
        <f t="shared" ref="E50:G50" si="27">+E39+E8</f>
        <v>181175939.97999999</v>
      </c>
      <c r="F50" s="324">
        <f t="shared" si="27"/>
        <v>269649280.43000007</v>
      </c>
      <c r="G50" s="324">
        <f t="shared" si="27"/>
        <v>943172676.61000001</v>
      </c>
      <c r="H50" s="278">
        <f>+H39+H8</f>
        <v>1393997897.02</v>
      </c>
      <c r="I50" s="324">
        <f t="shared" ref="I50:K50" si="28">+I39+I8</f>
        <v>182366684.47</v>
      </c>
      <c r="J50" s="324">
        <f t="shared" si="28"/>
        <v>102693900.48</v>
      </c>
      <c r="K50" s="324">
        <f t="shared" si="28"/>
        <v>104174126.03</v>
      </c>
      <c r="L50" s="278">
        <f>+L39+L8</f>
        <v>389234710.98000002</v>
      </c>
      <c r="M50" s="278">
        <f>+H50+L50</f>
        <v>1783232608</v>
      </c>
      <c r="N50" s="282">
        <f>+N8+N39</f>
        <v>54668277.329999924</v>
      </c>
      <c r="O50" s="266">
        <f>+M50/D50</f>
        <v>0.970255045978617</v>
      </c>
    </row>
    <row r="51" spans="2:15" ht="21" customHeight="1" x14ac:dyDescent="0.3">
      <c r="B51" s="565" t="s">
        <v>800</v>
      </c>
      <c r="C51" s="565"/>
      <c r="D51" s="565"/>
      <c r="E51" s="565"/>
      <c r="F51" s="565"/>
      <c r="G51" s="565"/>
      <c r="H51" s="565"/>
      <c r="I51" s="565"/>
      <c r="J51" s="565"/>
      <c r="K51" s="565"/>
      <c r="L51" s="565"/>
      <c r="M51" s="565"/>
      <c r="N51" s="565"/>
      <c r="O51" s="565"/>
    </row>
    <row r="52" spans="2:15" x14ac:dyDescent="0.3">
      <c r="B52" s="13"/>
      <c r="C52" s="13"/>
      <c r="D52" s="313"/>
      <c r="E52" s="313"/>
      <c r="F52" s="313"/>
      <c r="G52" s="313"/>
      <c r="H52" s="142"/>
      <c r="I52" s="313"/>
      <c r="J52" s="313"/>
      <c r="K52" s="313"/>
      <c r="L52" s="142"/>
      <c r="M52" s="142"/>
      <c r="N52" s="142"/>
      <c r="O52" s="14"/>
    </row>
    <row r="53" spans="2:15" x14ac:dyDescent="0.3">
      <c r="B53" s="13"/>
      <c r="C53" s="13"/>
      <c r="D53" s="313"/>
      <c r="E53" s="313"/>
      <c r="F53" s="313"/>
      <c r="G53" s="313"/>
      <c r="H53" s="142"/>
      <c r="I53" s="313"/>
      <c r="J53" s="313"/>
      <c r="K53" s="313"/>
      <c r="L53" s="142"/>
      <c r="M53" s="142"/>
      <c r="N53" s="142"/>
      <c r="O53" s="14"/>
    </row>
    <row r="54" spans="2:15" x14ac:dyDescent="0.3">
      <c r="B54" s="13"/>
      <c r="C54" s="13"/>
      <c r="D54" s="313"/>
      <c r="E54" s="313"/>
      <c r="F54" s="313"/>
      <c r="G54" s="313"/>
      <c r="H54" s="142"/>
      <c r="I54" s="313"/>
      <c r="J54" s="313"/>
      <c r="K54" s="313"/>
      <c r="L54" s="142"/>
      <c r="M54" s="142"/>
      <c r="N54" s="142"/>
      <c r="O54" s="14"/>
    </row>
    <row r="55" spans="2:15" x14ac:dyDescent="0.3">
      <c r="B55" s="13"/>
      <c r="C55" s="13"/>
      <c r="D55" s="313"/>
      <c r="E55" s="313"/>
      <c r="F55" s="313"/>
      <c r="G55" s="313"/>
      <c r="H55" s="142"/>
      <c r="I55" s="313"/>
      <c r="J55" s="313"/>
      <c r="K55" s="313"/>
      <c r="L55" s="142"/>
      <c r="M55" s="142"/>
      <c r="N55" s="142"/>
      <c r="O55" s="14"/>
    </row>
    <row r="56" spans="2:15" x14ac:dyDescent="0.3">
      <c r="B56" s="13"/>
      <c r="C56" s="13"/>
      <c r="D56" s="313"/>
      <c r="E56" s="313"/>
      <c r="F56" s="313"/>
      <c r="G56" s="313"/>
      <c r="H56" s="142"/>
      <c r="I56" s="313"/>
      <c r="J56" s="313"/>
      <c r="K56" s="313"/>
      <c r="L56" s="142"/>
      <c r="M56" s="142"/>
      <c r="N56" s="142"/>
      <c r="O56" s="13"/>
    </row>
    <row r="57" spans="2:15" x14ac:dyDescent="0.3">
      <c r="B57" s="13"/>
      <c r="C57" s="13"/>
      <c r="D57" s="313"/>
      <c r="E57" s="313"/>
      <c r="F57" s="313"/>
      <c r="G57" s="313"/>
      <c r="H57" s="142"/>
      <c r="I57" s="313"/>
      <c r="J57" s="313"/>
      <c r="K57" s="313"/>
      <c r="L57" s="142"/>
      <c r="M57" s="142"/>
      <c r="N57" s="142"/>
      <c r="O57" s="13"/>
    </row>
    <row r="58" spans="2:15" x14ac:dyDescent="0.3">
      <c r="B58" s="13"/>
      <c r="C58" s="13"/>
      <c r="D58" s="313"/>
      <c r="E58" s="313"/>
      <c r="F58" s="313"/>
      <c r="G58" s="313"/>
      <c r="H58" s="142"/>
      <c r="I58" s="313"/>
      <c r="J58" s="313"/>
      <c r="K58" s="313"/>
      <c r="L58" s="142"/>
      <c r="M58" s="142"/>
      <c r="N58" s="142"/>
      <c r="O58" s="13"/>
    </row>
    <row r="59" spans="2:15" x14ac:dyDescent="0.3">
      <c r="B59" s="13"/>
      <c r="C59" s="13"/>
      <c r="D59" s="313"/>
      <c r="E59" s="313"/>
      <c r="F59" s="313"/>
      <c r="G59" s="313"/>
      <c r="H59" s="142"/>
      <c r="I59" s="313"/>
      <c r="J59" s="313"/>
      <c r="K59" s="313"/>
      <c r="L59" s="142"/>
      <c r="M59" s="142"/>
      <c r="N59" s="142"/>
      <c r="O59" s="13"/>
    </row>
    <row r="60" spans="2:15" x14ac:dyDescent="0.3">
      <c r="B60" s="13"/>
      <c r="C60" s="13"/>
      <c r="D60" s="313"/>
      <c r="E60" s="313"/>
      <c r="F60" s="313"/>
      <c r="G60" s="313"/>
      <c r="H60" s="142"/>
      <c r="I60" s="313"/>
      <c r="J60" s="313"/>
      <c r="K60" s="313"/>
      <c r="L60" s="142"/>
      <c r="M60" s="142"/>
      <c r="N60" s="142"/>
      <c r="O60" s="13"/>
    </row>
    <row r="61" spans="2:15" x14ac:dyDescent="0.3">
      <c r="B61" s="13"/>
      <c r="C61" s="13"/>
      <c r="D61" s="313"/>
      <c r="E61" s="313"/>
      <c r="F61" s="313"/>
      <c r="G61" s="313"/>
      <c r="H61" s="142"/>
      <c r="I61" s="313"/>
      <c r="J61" s="313"/>
      <c r="K61" s="313"/>
      <c r="L61" s="142"/>
      <c r="M61" s="142"/>
      <c r="N61" s="142"/>
      <c r="O61" s="13"/>
    </row>
    <row r="62" spans="2:15" x14ac:dyDescent="0.3">
      <c r="B62" s="13"/>
      <c r="C62" s="13"/>
      <c r="D62" s="313"/>
      <c r="E62" s="313"/>
      <c r="F62" s="313"/>
      <c r="G62" s="313"/>
      <c r="H62" s="142"/>
      <c r="I62" s="313"/>
      <c r="J62" s="313"/>
      <c r="K62" s="313"/>
      <c r="L62" s="142"/>
      <c r="M62" s="142"/>
      <c r="N62" s="142"/>
      <c r="O62" s="13"/>
    </row>
    <row r="63" spans="2:15" x14ac:dyDescent="0.3">
      <c r="B63" s="13"/>
      <c r="C63" s="13"/>
      <c r="D63" s="313"/>
      <c r="E63" s="313"/>
      <c r="F63" s="313"/>
      <c r="G63" s="313"/>
      <c r="H63" s="142"/>
      <c r="I63" s="313"/>
      <c r="J63" s="313"/>
      <c r="K63" s="313"/>
      <c r="L63" s="142"/>
      <c r="M63" s="142"/>
      <c r="N63" s="142"/>
      <c r="O63" s="13"/>
    </row>
    <row r="64" spans="2:15" x14ac:dyDescent="0.3">
      <c r="B64" s="13"/>
      <c r="C64" s="13"/>
      <c r="D64" s="313"/>
      <c r="E64" s="313"/>
      <c r="F64" s="313"/>
      <c r="G64" s="313"/>
      <c r="H64" s="142"/>
      <c r="I64" s="313"/>
      <c r="J64" s="313"/>
      <c r="K64" s="313"/>
      <c r="L64" s="142"/>
      <c r="M64" s="142"/>
      <c r="N64" s="142"/>
      <c r="O64" s="13"/>
    </row>
  </sheetData>
  <mergeCells count="14">
    <mergeCell ref="B1:N1"/>
    <mergeCell ref="B51:O51"/>
    <mergeCell ref="E5:G5"/>
    <mergeCell ref="B5:B6"/>
    <mergeCell ref="C5:C6"/>
    <mergeCell ref="D5:D6"/>
    <mergeCell ref="H5:H6"/>
    <mergeCell ref="N5:N6"/>
    <mergeCell ref="O5:O6"/>
    <mergeCell ref="B2:O2"/>
    <mergeCell ref="B3:O3"/>
    <mergeCell ref="I5:K5"/>
    <mergeCell ref="L5:L6"/>
    <mergeCell ref="M5:M6"/>
  </mergeCells>
  <printOptions horizontalCentered="1" gridLinesSet="0"/>
  <pageMargins left="0" right="0" top="1.1023622047244095" bottom="0.19685039370078741" header="0.59055118110236215" footer="0"/>
  <pageSetup paperSize="9" scale="85" orientation="portrait" r:id="rId1"/>
  <headerFooter alignWithMargins="0"/>
  <ignoredErrors>
    <ignoredError sqref="H14 H32:H37 H43:H48" formulaRange="1"/>
    <ignoredError sqref="H18 M45:M48 M39:M41 M2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showGridLines="0" workbookViewId="0">
      <selection activeCell="L14" sqref="L14"/>
    </sheetView>
  </sheetViews>
  <sheetFormatPr baseColWidth="10" defaultRowHeight="15" x14ac:dyDescent="0.2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66B87-9B4C-4EF4-8CD3-5DA2D99F2B85}">
  <dimension ref="B1:O25"/>
  <sheetViews>
    <sheetView showGridLines="0" zoomScale="90" zoomScaleNormal="90" workbookViewId="0">
      <selection activeCell="I22" sqref="I22"/>
    </sheetView>
  </sheetViews>
  <sheetFormatPr baseColWidth="10" defaultRowHeight="15" x14ac:dyDescent="0.25"/>
  <cols>
    <col min="1" max="1" width="11.42578125" style="77"/>
    <col min="2" max="2" width="29.85546875" style="77" customWidth="1"/>
    <col min="3" max="3" width="20.28515625" style="77" customWidth="1"/>
    <col min="4" max="4" width="18.42578125" style="1" hidden="1" customWidth="1"/>
    <col min="5" max="5" width="19" style="1" hidden="1" customWidth="1"/>
    <col min="6" max="6" width="18.85546875" style="1" hidden="1" customWidth="1"/>
    <col min="7" max="7" width="19.7109375" style="1" customWidth="1"/>
    <col min="8" max="8" width="18.42578125" style="1" customWidth="1"/>
    <col min="9" max="9" width="19" style="1" customWidth="1"/>
    <col min="10" max="11" width="18.85546875" style="1" customWidth="1"/>
    <col min="12" max="12" width="20.42578125" style="1" customWidth="1"/>
    <col min="13" max="13" width="13.5703125" style="3" bestFit="1" customWidth="1"/>
    <col min="14" max="14" width="17.42578125" style="77" bestFit="1" customWidth="1"/>
    <col min="15" max="15" width="18.140625" style="1" customWidth="1"/>
    <col min="16" max="16384" width="11.42578125" style="77"/>
  </cols>
  <sheetData>
    <row r="1" spans="2:14" x14ac:dyDescent="0.25">
      <c r="B1" s="561"/>
      <c r="C1" s="561"/>
      <c r="D1" s="561"/>
      <c r="E1" s="561"/>
      <c r="F1" s="561"/>
      <c r="G1" s="561"/>
      <c r="H1" s="376"/>
      <c r="I1" s="376"/>
      <c r="J1" s="376"/>
      <c r="K1" s="376"/>
      <c r="L1" s="376"/>
      <c r="M1" s="5"/>
      <c r="N1" s="1"/>
    </row>
    <row r="2" spans="2:14" x14ac:dyDescent="0.25">
      <c r="B2" s="561"/>
      <c r="C2" s="561"/>
      <c r="D2" s="561"/>
      <c r="E2" s="561"/>
      <c r="F2" s="561"/>
      <c r="G2" s="561"/>
      <c r="H2" s="376"/>
      <c r="I2" s="376"/>
      <c r="J2" s="376"/>
      <c r="K2" s="376"/>
      <c r="L2" s="376"/>
      <c r="M2" s="5"/>
      <c r="N2" s="1"/>
    </row>
    <row r="3" spans="2:14" x14ac:dyDescent="0.25">
      <c r="B3" s="560"/>
      <c r="C3" s="560"/>
      <c r="D3" s="560"/>
      <c r="E3" s="560"/>
      <c r="F3" s="560"/>
      <c r="G3" s="560"/>
      <c r="H3" s="375"/>
      <c r="I3" s="375"/>
      <c r="J3" s="375"/>
      <c r="K3" s="375"/>
      <c r="L3" s="375"/>
      <c r="M3" s="5"/>
      <c r="N3" s="1"/>
    </row>
    <row r="4" spans="2:14" ht="45" customHeight="1" x14ac:dyDescent="0.25">
      <c r="B4" s="171" t="s">
        <v>727</v>
      </c>
      <c r="C4" s="172" t="s">
        <v>760</v>
      </c>
      <c r="D4" s="179" t="s">
        <v>754</v>
      </c>
      <c r="E4" s="173" t="s">
        <v>755</v>
      </c>
      <c r="F4" s="173" t="s">
        <v>756</v>
      </c>
      <c r="G4" s="179" t="s">
        <v>758</v>
      </c>
      <c r="H4" s="383" t="s">
        <v>795</v>
      </c>
      <c r="I4" s="384" t="s">
        <v>797</v>
      </c>
      <c r="J4" s="384" t="s">
        <v>796</v>
      </c>
      <c r="K4" s="179" t="s">
        <v>801</v>
      </c>
      <c r="L4" s="179" t="s">
        <v>802</v>
      </c>
      <c r="M4" s="174" t="s">
        <v>728</v>
      </c>
    </row>
    <row r="5" spans="2:14" ht="21" hidden="1" customHeight="1" x14ac:dyDescent="0.25">
      <c r="B5" s="168" t="s">
        <v>149</v>
      </c>
      <c r="C5" s="165">
        <f t="shared" ref="C5:J5" si="0">+C6+C8+C10</f>
        <v>1837900885.3299999</v>
      </c>
      <c r="D5" s="165">
        <f t="shared" si="0"/>
        <v>181175939.97999999</v>
      </c>
      <c r="E5" s="165">
        <f t="shared" si="0"/>
        <v>269649280.43000007</v>
      </c>
      <c r="F5" s="165">
        <f t="shared" si="0"/>
        <v>943172676.61000001</v>
      </c>
      <c r="G5" s="165">
        <f t="shared" si="0"/>
        <v>1393997897.02</v>
      </c>
      <c r="H5" s="165">
        <f t="shared" si="0"/>
        <v>182366684.47</v>
      </c>
      <c r="I5" s="165">
        <f t="shared" si="0"/>
        <v>102693900.48</v>
      </c>
      <c r="J5" s="165">
        <f t="shared" si="0"/>
        <v>104174126.03</v>
      </c>
      <c r="K5" s="165">
        <f>SUM(H5:J5)</f>
        <v>389234710.98000002</v>
      </c>
      <c r="L5" s="165">
        <f>+G5+K5</f>
        <v>1783232608</v>
      </c>
      <c r="M5" s="180">
        <f>+G5/C5</f>
        <v>0.75847283612886662</v>
      </c>
    </row>
    <row r="6" spans="2:14" hidden="1" x14ac:dyDescent="0.25">
      <c r="B6" s="8" t="s">
        <v>7</v>
      </c>
      <c r="C6" s="10">
        <f>+'Tabla 3 Ingresos por partida'!D10</f>
        <v>0</v>
      </c>
      <c r="D6" s="10">
        <f>+'Tabla 3 Ingresos por partida'!E10</f>
        <v>902034.38</v>
      </c>
      <c r="E6" s="10">
        <f>+'Tabla 3 Ingresos por partida'!F10</f>
        <v>479641.97</v>
      </c>
      <c r="F6" s="10">
        <f>+'Tabla 3 Ingresos por partida'!G10</f>
        <v>4613144.7</v>
      </c>
      <c r="G6" s="10">
        <f>SUM(D6:F6)</f>
        <v>5994821.0500000007</v>
      </c>
      <c r="H6" s="10">
        <f>+'Tabla 3 Ingresos por partida'!I10</f>
        <v>741891.96000000008</v>
      </c>
      <c r="I6" s="10">
        <f>+'Tabla 3 Ingresos por partida'!J10</f>
        <v>904288.4</v>
      </c>
      <c r="J6" s="10">
        <f>+'Tabla 3 Ingresos por partida'!K10</f>
        <v>428258.33</v>
      </c>
      <c r="K6" s="10">
        <f>SUM(H6:J6)</f>
        <v>2074438.6900000002</v>
      </c>
      <c r="L6" s="10">
        <f>+G6+K6</f>
        <v>8069259.7400000012</v>
      </c>
      <c r="M6" s="181">
        <v>1</v>
      </c>
    </row>
    <row r="7" spans="2:14" ht="6.75" hidden="1" customHeight="1" x14ac:dyDescent="0.25">
      <c r="B7" s="8"/>
      <c r="C7" s="10"/>
      <c r="D7" s="9"/>
      <c r="E7" s="9"/>
      <c r="F7" s="9"/>
      <c r="G7" s="9"/>
      <c r="H7" s="9"/>
      <c r="I7" s="9"/>
      <c r="J7" s="9"/>
      <c r="K7" s="9"/>
      <c r="L7" s="9"/>
      <c r="M7" s="182"/>
    </row>
    <row r="8" spans="2:14" hidden="1" x14ac:dyDescent="0.25">
      <c r="B8" s="8" t="s">
        <v>2</v>
      </c>
      <c r="C8" s="10">
        <f>+'Tabla 3 Ingresos por partida'!D27</f>
        <v>1607723514.3599999</v>
      </c>
      <c r="D8" s="9">
        <f>+'Tabla 3 Ingresos por partida'!E27</f>
        <v>180273905.59999999</v>
      </c>
      <c r="E8" s="9">
        <f>+'Tabla 3 Ingresos por partida'!F27</f>
        <v>269169638.46000004</v>
      </c>
      <c r="F8" s="9">
        <f>+'Tabla 3 Ingresos por partida'!G27</f>
        <v>101789612.08</v>
      </c>
      <c r="G8" s="9">
        <f>SUM(D8:F8)</f>
        <v>551233156.1400001</v>
      </c>
      <c r="H8" s="9">
        <f>+'Tabla 3 Ingresos por partida'!I27</f>
        <v>181624792.50999999</v>
      </c>
      <c r="I8" s="9">
        <f>+'Tabla 3 Ingresos por partida'!J27</f>
        <v>101789612.08</v>
      </c>
      <c r="J8" s="9">
        <f>+'Tabla 3 Ingresos por partida'!K27</f>
        <v>103745867.7</v>
      </c>
      <c r="K8" s="9">
        <f>SUM(H8:J8)</f>
        <v>387160272.28999996</v>
      </c>
      <c r="L8" s="9">
        <f>+G8+K8</f>
        <v>938393428.43000007</v>
      </c>
      <c r="M8" s="181">
        <f>+G8/C8</f>
        <v>0.34286564276534459</v>
      </c>
      <c r="N8" s="2"/>
    </row>
    <row r="9" spans="2:14" ht="6.75" hidden="1" customHeight="1" x14ac:dyDescent="0.25">
      <c r="B9" s="8"/>
      <c r="C9" s="10"/>
      <c r="D9" s="9"/>
      <c r="E9" s="9"/>
      <c r="F9" s="9"/>
      <c r="G9" s="9"/>
      <c r="H9" s="9"/>
      <c r="I9" s="9"/>
      <c r="J9" s="9"/>
      <c r="K9" s="9"/>
      <c r="L9" s="9"/>
      <c r="M9" s="182"/>
    </row>
    <row r="10" spans="2:14" hidden="1" x14ac:dyDescent="0.25">
      <c r="B10" s="8" t="s">
        <v>10</v>
      </c>
      <c r="C10" s="10">
        <f>+'Tabla 3 Ingresos por partida'!D41</f>
        <v>230177370.96999997</v>
      </c>
      <c r="D10" s="9">
        <f>+'Tabla 3 Ingresos por partida'!E41</f>
        <v>0</v>
      </c>
      <c r="E10" s="9">
        <f>+'Tabla 3 Ingresos por partida'!F41</f>
        <v>0</v>
      </c>
      <c r="F10" s="9">
        <f>+'Tabla 3 Ingresos por partida'!G41</f>
        <v>836769919.83000004</v>
      </c>
      <c r="G10" s="9">
        <f>SUM(D10:F10)</f>
        <v>836769919.83000004</v>
      </c>
      <c r="H10" s="9">
        <f>+'Tabla 3 Ingresos por partida'!I41</f>
        <v>0</v>
      </c>
      <c r="I10" s="9">
        <f>+'Tabla 3 Ingresos por partida'!J41</f>
        <v>0</v>
      </c>
      <c r="J10" s="9">
        <f>+'Tabla 3 Ingresos por partida'!K41</f>
        <v>0</v>
      </c>
      <c r="K10" s="9">
        <f>SUM(H10:J10)</f>
        <v>0</v>
      </c>
      <c r="L10" s="9">
        <f>+G10+K10</f>
        <v>836769919.83000004</v>
      </c>
      <c r="M10" s="181">
        <v>1</v>
      </c>
    </row>
    <row r="11" spans="2:14" ht="6.75" hidden="1" customHeight="1" x14ac:dyDescent="0.25">
      <c r="B11" s="6"/>
      <c r="C11" s="164"/>
      <c r="D11" s="7"/>
      <c r="E11" s="7"/>
      <c r="F11" s="7"/>
      <c r="G11" s="7"/>
      <c r="H11" s="7"/>
      <c r="I11" s="7"/>
      <c r="J11" s="7"/>
      <c r="K11" s="7"/>
      <c r="L11" s="7"/>
      <c r="M11" s="182"/>
    </row>
    <row r="12" spans="2:14" ht="13.5" hidden="1" customHeight="1" x14ac:dyDescent="0.25">
      <c r="B12" s="169"/>
      <c r="C12" s="166"/>
      <c r="D12" s="167"/>
      <c r="E12" s="167"/>
      <c r="F12" s="167"/>
      <c r="G12" s="167"/>
      <c r="H12" s="167"/>
      <c r="I12" s="167"/>
      <c r="J12" s="167"/>
      <c r="K12" s="167"/>
      <c r="L12" s="167"/>
      <c r="M12" s="183"/>
    </row>
    <row r="13" spans="2:14" ht="21" customHeight="1" x14ac:dyDescent="0.25">
      <c r="B13" s="168" t="s">
        <v>150</v>
      </c>
      <c r="C13" s="170">
        <f>SUM(C14:C19)</f>
        <v>1837900885.3299999</v>
      </c>
      <c r="D13" s="170">
        <f t="shared" ref="D13:J13" si="1">SUM(D14:D19)</f>
        <v>173283935.34999999</v>
      </c>
      <c r="E13" s="170">
        <f t="shared" si="1"/>
        <v>332682323.18000001</v>
      </c>
      <c r="F13" s="170">
        <f t="shared" si="1"/>
        <v>92698257.700000003</v>
      </c>
      <c r="G13" s="170">
        <f t="shared" si="1"/>
        <v>598664516.23000002</v>
      </c>
      <c r="H13" s="170">
        <f t="shared" si="1"/>
        <v>108970560.51000001</v>
      </c>
      <c r="I13" s="170">
        <f t="shared" si="1"/>
        <v>104177977.23000002</v>
      </c>
      <c r="J13" s="170">
        <f t="shared" si="1"/>
        <v>96477681.410000011</v>
      </c>
      <c r="K13" s="170">
        <f>SUM(H13:J13)</f>
        <v>309626219.15000004</v>
      </c>
      <c r="L13" s="170">
        <f>+G13+K13</f>
        <v>908290735.38000011</v>
      </c>
      <c r="M13" s="180">
        <f>+L13/C13</f>
        <v>0.49420006412201828</v>
      </c>
    </row>
    <row r="14" spans="2:14" x14ac:dyDescent="0.25">
      <c r="B14" s="8" t="s">
        <v>3</v>
      </c>
      <c r="C14" s="10">
        <v>1072563361.9</v>
      </c>
      <c r="D14" s="10">
        <v>130256270.25</v>
      </c>
      <c r="E14" s="10">
        <v>86139534.540000007</v>
      </c>
      <c r="F14" s="10">
        <v>76402676.819999993</v>
      </c>
      <c r="G14" s="10">
        <f>SUM(D14:F14)</f>
        <v>292798481.61000001</v>
      </c>
      <c r="H14" s="10">
        <f>31430186.79+38286362.6</f>
        <v>69716549.390000001</v>
      </c>
      <c r="I14" s="10">
        <f>31538717.92+34939260.13</f>
        <v>66477978.050000004</v>
      </c>
      <c r="J14" s="10">
        <f>31666688.74+38244327.6</f>
        <v>69911016.340000004</v>
      </c>
      <c r="K14" s="10">
        <f>SUM(H14:J14)</f>
        <v>206105543.78</v>
      </c>
      <c r="L14" s="10">
        <f>+G14+K14</f>
        <v>498904025.38999999</v>
      </c>
      <c r="M14" s="181">
        <f>+L14/C14</f>
        <v>0.46515109793253884</v>
      </c>
    </row>
    <row r="15" spans="2:14" x14ac:dyDescent="0.25">
      <c r="B15" s="8" t="s">
        <v>0</v>
      </c>
      <c r="C15" s="10">
        <v>114090031.40000001</v>
      </c>
      <c r="D15" s="10">
        <v>1825593.02</v>
      </c>
      <c r="E15" s="10">
        <v>10208048.869999999</v>
      </c>
      <c r="F15" s="10">
        <v>7746156.6799999997</v>
      </c>
      <c r="G15" s="10">
        <f t="shared" ref="G15:G19" si="2">SUM(D15:F15)</f>
        <v>19779798.57</v>
      </c>
      <c r="H15" s="10">
        <v>5068258.62</v>
      </c>
      <c r="I15" s="10">
        <v>5045458.75</v>
      </c>
      <c r="J15" s="10">
        <v>5946670.1799999997</v>
      </c>
      <c r="K15" s="10">
        <f>SUM(H15:J15)</f>
        <v>16060387.550000001</v>
      </c>
      <c r="L15" s="10">
        <f>+G15+K15</f>
        <v>35840186.120000005</v>
      </c>
      <c r="M15" s="181">
        <f t="shared" ref="M15:M19" si="3">+L15/C15</f>
        <v>0.31413950614444308</v>
      </c>
    </row>
    <row r="16" spans="2:14" x14ac:dyDescent="0.25">
      <c r="B16" s="8" t="s">
        <v>11</v>
      </c>
      <c r="C16" s="10">
        <v>1745000</v>
      </c>
      <c r="D16" s="10">
        <v>0</v>
      </c>
      <c r="E16" s="10">
        <v>0</v>
      </c>
      <c r="F16" s="10">
        <v>25449.7</v>
      </c>
      <c r="G16" s="10">
        <f t="shared" si="2"/>
        <v>25449.7</v>
      </c>
      <c r="H16" s="10">
        <v>23005</v>
      </c>
      <c r="I16" s="10">
        <v>0</v>
      </c>
      <c r="J16" s="10">
        <v>29002</v>
      </c>
      <c r="K16" s="10">
        <f t="shared" ref="K16:K19" si="4">SUM(H16:J16)</f>
        <v>52007</v>
      </c>
      <c r="L16" s="10">
        <f t="shared" ref="L16:L19" si="5">+G16+K16</f>
        <v>77456.7</v>
      </c>
      <c r="M16" s="181">
        <f t="shared" si="3"/>
        <v>4.4387793696275067E-2</v>
      </c>
      <c r="N16" s="2"/>
    </row>
    <row r="17" spans="2:15" x14ac:dyDescent="0.25">
      <c r="B17" s="8" t="s">
        <v>4</v>
      </c>
      <c r="C17" s="10">
        <v>34069570</v>
      </c>
      <c r="D17" s="10">
        <v>0</v>
      </c>
      <c r="E17" s="10">
        <v>0</v>
      </c>
      <c r="F17" s="10">
        <v>0</v>
      </c>
      <c r="G17" s="10">
        <f t="shared" si="2"/>
        <v>0</v>
      </c>
      <c r="H17" s="10">
        <v>709187.28</v>
      </c>
      <c r="I17" s="10">
        <v>0</v>
      </c>
      <c r="J17" s="10">
        <v>0</v>
      </c>
      <c r="K17" s="10">
        <f t="shared" si="4"/>
        <v>709187.28</v>
      </c>
      <c r="L17" s="10">
        <f t="shared" si="5"/>
        <v>709187.28</v>
      </c>
      <c r="M17" s="181">
        <f t="shared" si="3"/>
        <v>2.0815856495987477E-2</v>
      </c>
    </row>
    <row r="18" spans="2:15" x14ac:dyDescent="0.25">
      <c r="B18" s="8" t="s">
        <v>2</v>
      </c>
      <c r="C18" s="10">
        <v>605492998.77999997</v>
      </c>
      <c r="D18" s="10">
        <v>41202072.079999998</v>
      </c>
      <c r="E18" s="10">
        <v>236334739.77000001</v>
      </c>
      <c r="F18" s="10">
        <v>8523974.5</v>
      </c>
      <c r="G18" s="10">
        <f t="shared" si="2"/>
        <v>286060786.35000002</v>
      </c>
      <c r="H18" s="10">
        <f>23037302.1+10416258.12</f>
        <v>33453560.219999999</v>
      </c>
      <c r="I18" s="10">
        <f>31210884.1+1443656.33</f>
        <v>32654540.43</v>
      </c>
      <c r="J18" s="10">
        <f>14545461.5+6045531.39</f>
        <v>20590992.890000001</v>
      </c>
      <c r="K18" s="10">
        <f t="shared" si="4"/>
        <v>86699093.539999992</v>
      </c>
      <c r="L18" s="10">
        <f t="shared" si="5"/>
        <v>372759879.88999999</v>
      </c>
      <c r="M18" s="181">
        <f t="shared" si="3"/>
        <v>0.61563037168236301</v>
      </c>
    </row>
    <row r="19" spans="2:15" x14ac:dyDescent="0.25">
      <c r="B19" s="8" t="s">
        <v>13</v>
      </c>
      <c r="C19" s="10">
        <v>9939923.25</v>
      </c>
      <c r="D19" s="10">
        <v>0</v>
      </c>
      <c r="E19" s="10">
        <v>0</v>
      </c>
      <c r="F19" s="10">
        <v>0</v>
      </c>
      <c r="G19" s="10">
        <f t="shared" si="2"/>
        <v>0</v>
      </c>
      <c r="H19" s="10">
        <v>0</v>
      </c>
      <c r="I19" s="10">
        <v>0</v>
      </c>
      <c r="J19" s="10">
        <v>0</v>
      </c>
      <c r="K19" s="10">
        <f t="shared" si="4"/>
        <v>0</v>
      </c>
      <c r="L19" s="10">
        <f t="shared" si="5"/>
        <v>0</v>
      </c>
      <c r="M19" s="181">
        <f t="shared" si="3"/>
        <v>0</v>
      </c>
    </row>
    <row r="20" spans="2:15" ht="37.5" customHeight="1" x14ac:dyDescent="0.25">
      <c r="B20" s="562"/>
      <c r="C20" s="562"/>
      <c r="D20" s="562"/>
      <c r="E20" s="562"/>
      <c r="F20" s="562"/>
      <c r="G20" s="562"/>
      <c r="H20" s="562"/>
      <c r="I20" s="562"/>
      <c r="J20" s="562"/>
      <c r="K20" s="562"/>
      <c r="L20" s="562"/>
      <c r="M20" s="562"/>
    </row>
    <row r="21" spans="2:15" s="120" customFormat="1" x14ac:dyDescent="0.25">
      <c r="B21" s="119"/>
      <c r="C21" s="119"/>
      <c r="D21" s="15"/>
      <c r="E21" s="15"/>
      <c r="F21" s="15"/>
      <c r="G21" s="15"/>
      <c r="H21" s="15"/>
      <c r="I21" s="15"/>
      <c r="J21" s="15"/>
      <c r="K21" s="15"/>
      <c r="L21" s="15"/>
      <c r="M21" s="4"/>
      <c r="O21" s="15"/>
    </row>
    <row r="25" spans="2:15" x14ac:dyDescent="0.25">
      <c r="C25" s="2"/>
    </row>
  </sheetData>
  <mergeCells count="4">
    <mergeCell ref="B1:G1"/>
    <mergeCell ref="B2:G2"/>
    <mergeCell ref="B3:G3"/>
    <mergeCell ref="B20:M20"/>
  </mergeCells>
  <pageMargins left="0.7" right="0.7" top="0.75" bottom="0.75" header="0.3" footer="0.3"/>
  <pageSetup paperSize="9" orientation="portrait" r:id="rId1"/>
  <ignoredErrors>
    <ignoredError sqref="G14:G19"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FE4B1-EBB5-468B-8001-178BA5A7B6FB}">
  <dimension ref="B3:K26"/>
  <sheetViews>
    <sheetView showGridLines="0" topLeftCell="A5" workbookViewId="0">
      <selection activeCell="G29" sqref="G29"/>
    </sheetView>
  </sheetViews>
  <sheetFormatPr baseColWidth="10" defaultRowHeight="15" x14ac:dyDescent="0.25"/>
  <cols>
    <col min="1" max="1" width="11.42578125" style="77"/>
    <col min="2" max="2" width="44.5703125" style="77" customWidth="1"/>
    <col min="3" max="4" width="20.42578125" style="1" customWidth="1"/>
    <col min="5" max="5" width="18.85546875" style="1" customWidth="1"/>
    <col min="6" max="6" width="17.85546875" style="77" customWidth="1"/>
    <col min="7" max="7" width="17.140625" style="77" customWidth="1"/>
    <col min="8" max="8" width="18.140625" style="77" customWidth="1"/>
    <col min="9" max="9" width="17.140625" style="77" customWidth="1"/>
    <col min="10" max="10" width="11.28515625" style="77" customWidth="1"/>
    <col min="11" max="16384" width="11.42578125" style="77"/>
  </cols>
  <sheetData>
    <row r="3" spans="2:11" x14ac:dyDescent="0.25">
      <c r="G3" s="2"/>
    </row>
    <row r="4" spans="2:11" x14ac:dyDescent="0.25">
      <c r="G4" s="1"/>
      <c r="H4" s="1"/>
    </row>
    <row r="5" spans="2:11" ht="30" x14ac:dyDescent="0.25">
      <c r="B5" s="267" t="s">
        <v>747</v>
      </c>
      <c r="C5" s="504" t="s">
        <v>1160</v>
      </c>
      <c r="D5" s="504" t="s">
        <v>1161</v>
      </c>
      <c r="E5" s="504" t="s">
        <v>1163</v>
      </c>
      <c r="F5" s="268" t="s">
        <v>1164</v>
      </c>
      <c r="G5" s="268" t="s">
        <v>1165</v>
      </c>
      <c r="H5" s="268" t="s">
        <v>748</v>
      </c>
      <c r="I5" s="268" t="s">
        <v>20</v>
      </c>
      <c r="J5" s="269" t="s">
        <v>14</v>
      </c>
    </row>
    <row r="6" spans="2:11" s="3" customFormat="1" x14ac:dyDescent="0.25">
      <c r="B6" s="270" t="s">
        <v>803</v>
      </c>
      <c r="C6" s="505">
        <v>430371839.00999999</v>
      </c>
      <c r="D6" s="505">
        <v>-167768640.00999999</v>
      </c>
      <c r="E6" s="505">
        <f>SUM(C6:D6)</f>
        <v>262603199</v>
      </c>
      <c r="F6" s="271">
        <v>0</v>
      </c>
      <c r="G6" s="271">
        <v>0</v>
      </c>
      <c r="H6" s="271">
        <f>284137104-22977467</f>
        <v>261159637</v>
      </c>
      <c r="I6" s="271">
        <f>+E6-F6-G6-H6</f>
        <v>1443562</v>
      </c>
      <c r="J6" s="272">
        <f>+H6/E6</f>
        <v>0.99450287732404963</v>
      </c>
      <c r="K6" s="312"/>
    </row>
    <row r="7" spans="2:11" s="3" customFormat="1" x14ac:dyDescent="0.25">
      <c r="B7" s="270" t="s">
        <v>804</v>
      </c>
      <c r="C7" s="505">
        <v>0</v>
      </c>
      <c r="D7" s="505">
        <v>166900820.00999999</v>
      </c>
      <c r="E7" s="505">
        <f t="shared" ref="E7:E11" si="0">SUM(C7:D7)</f>
        <v>166900820.00999999</v>
      </c>
      <c r="F7" s="271">
        <v>31894430</v>
      </c>
      <c r="G7" s="271">
        <v>36106930</v>
      </c>
      <c r="H7" s="271">
        <f>6220871+22977467</f>
        <v>29198338</v>
      </c>
      <c r="I7" s="271">
        <f t="shared" ref="I7:I13" si="1">+E7-F7-G7-H7</f>
        <v>69701122.00999999</v>
      </c>
      <c r="J7" s="272">
        <f>+H7/E7</f>
        <v>0.17494424532036787</v>
      </c>
      <c r="K7" s="312"/>
    </row>
    <row r="8" spans="2:11" s="3" customFormat="1" x14ac:dyDescent="0.25">
      <c r="B8" s="385" t="s">
        <v>807</v>
      </c>
      <c r="C8" s="506">
        <f>SUM(C6:C7)</f>
        <v>430371839.00999999</v>
      </c>
      <c r="D8" s="506">
        <f t="shared" ref="D8" si="2">SUM(D6:D7)</f>
        <v>-867820</v>
      </c>
      <c r="E8" s="506">
        <f>SUM(E6:E7)</f>
        <v>429504019.00999999</v>
      </c>
      <c r="F8" s="273">
        <f t="shared" ref="F8:H8" si="3">SUM(F6:F7)</f>
        <v>31894430</v>
      </c>
      <c r="G8" s="273">
        <f t="shared" si="3"/>
        <v>36106930</v>
      </c>
      <c r="H8" s="273">
        <f t="shared" si="3"/>
        <v>290357975</v>
      </c>
      <c r="I8" s="273">
        <f>+E8-F8-G8-H8</f>
        <v>71144684.00999999</v>
      </c>
      <c r="J8" s="274">
        <f>+H8/E8</f>
        <v>0.67603086851031235</v>
      </c>
      <c r="K8" s="312"/>
    </row>
    <row r="9" spans="2:11" s="3" customFormat="1" x14ac:dyDescent="0.25">
      <c r="B9" s="270"/>
      <c r="C9" s="505"/>
      <c r="D9" s="505"/>
      <c r="E9" s="505">
        <f t="shared" si="0"/>
        <v>0</v>
      </c>
      <c r="F9" s="271"/>
      <c r="G9" s="271"/>
      <c r="H9" s="271"/>
      <c r="I9" s="271">
        <f t="shared" si="1"/>
        <v>0</v>
      </c>
      <c r="J9" s="272"/>
      <c r="K9" s="312"/>
    </row>
    <row r="10" spans="2:11" x14ac:dyDescent="0.25">
      <c r="B10" s="270" t="s">
        <v>805</v>
      </c>
      <c r="C10" s="505">
        <v>50000000</v>
      </c>
      <c r="D10" s="505">
        <v>-50000000</v>
      </c>
      <c r="E10" s="505">
        <f t="shared" si="0"/>
        <v>0</v>
      </c>
      <c r="F10" s="271"/>
      <c r="G10" s="271">
        <v>0</v>
      </c>
      <c r="H10" s="271"/>
      <c r="I10" s="271">
        <f>+E10-F10-G10-H10</f>
        <v>0</v>
      </c>
      <c r="J10" s="272">
        <v>0</v>
      </c>
      <c r="K10" s="1"/>
    </row>
    <row r="11" spans="2:11" x14ac:dyDescent="0.25">
      <c r="B11" s="270" t="s">
        <v>806</v>
      </c>
      <c r="C11" s="505">
        <v>0</v>
      </c>
      <c r="D11" s="505">
        <v>50867820</v>
      </c>
      <c r="E11" s="505">
        <f t="shared" si="0"/>
        <v>50867820</v>
      </c>
      <c r="F11" s="271">
        <v>0</v>
      </c>
      <c r="G11" s="271">
        <v>35991956</v>
      </c>
      <c r="H11" s="271">
        <v>14875864</v>
      </c>
      <c r="I11" s="271">
        <f t="shared" si="1"/>
        <v>0</v>
      </c>
      <c r="J11" s="272">
        <f>+H11/E11</f>
        <v>0.29244154752454499</v>
      </c>
      <c r="K11" s="1"/>
    </row>
    <row r="12" spans="2:11" s="3" customFormat="1" x14ac:dyDescent="0.25">
      <c r="B12" s="385" t="s">
        <v>808</v>
      </c>
      <c r="C12" s="506">
        <f>SUM(C10:C11)</f>
        <v>50000000</v>
      </c>
      <c r="D12" s="506">
        <f t="shared" ref="D12:E12" si="4">SUM(D10:D11)</f>
        <v>867820</v>
      </c>
      <c r="E12" s="506">
        <f t="shared" si="4"/>
        <v>50867820</v>
      </c>
      <c r="F12" s="273">
        <f t="shared" ref="F12:H12" si="5">SUM(F10:F11)</f>
        <v>0</v>
      </c>
      <c r="G12" s="273">
        <f t="shared" si="5"/>
        <v>35991956</v>
      </c>
      <c r="H12" s="273">
        <f t="shared" si="5"/>
        <v>14875864</v>
      </c>
      <c r="I12" s="271">
        <f t="shared" si="1"/>
        <v>0</v>
      </c>
      <c r="J12" s="274">
        <f>+H12/E12</f>
        <v>0.29244154752454499</v>
      </c>
      <c r="K12" s="312"/>
    </row>
    <row r="13" spans="2:11" s="3" customFormat="1" x14ac:dyDescent="0.25">
      <c r="B13" s="385" t="s">
        <v>1104</v>
      </c>
      <c r="C13" s="506">
        <f>+C8+C12</f>
        <v>480371839.00999999</v>
      </c>
      <c r="D13" s="506">
        <f t="shared" ref="D13:E13" si="6">+D8+D12</f>
        <v>0</v>
      </c>
      <c r="E13" s="506">
        <f t="shared" si="6"/>
        <v>480371839.00999999</v>
      </c>
      <c r="F13" s="273">
        <f t="shared" ref="F13:H13" si="7">+F8+F12</f>
        <v>31894430</v>
      </c>
      <c r="G13" s="273">
        <f t="shared" si="7"/>
        <v>72098886</v>
      </c>
      <c r="H13" s="273">
        <f t="shared" si="7"/>
        <v>305233839</v>
      </c>
      <c r="I13" s="271">
        <f t="shared" si="1"/>
        <v>71144684.00999999</v>
      </c>
      <c r="J13" s="274">
        <f>+H13/E13</f>
        <v>0.63541160037411326</v>
      </c>
      <c r="K13" s="312"/>
    </row>
    <row r="14" spans="2:11" x14ac:dyDescent="0.25">
      <c r="B14" s="4"/>
      <c r="C14" s="275"/>
      <c r="D14" s="275"/>
      <c r="E14" s="275"/>
      <c r="F14" s="276"/>
      <c r="G14" s="4"/>
      <c r="H14" s="4"/>
      <c r="I14" s="4"/>
      <c r="J14" s="4"/>
    </row>
    <row r="15" spans="2:11" x14ac:dyDescent="0.25">
      <c r="B15" s="508" t="s">
        <v>1166</v>
      </c>
      <c r="C15" s="275"/>
      <c r="D15" s="275"/>
      <c r="E15" s="275"/>
      <c r="F15" s="276"/>
      <c r="G15" s="4"/>
      <c r="H15" s="4"/>
      <c r="I15" s="4"/>
      <c r="J15" s="4"/>
    </row>
    <row r="16" spans="2:11" ht="49.5" customHeight="1" x14ac:dyDescent="0.25">
      <c r="B16" s="581" t="s">
        <v>1167</v>
      </c>
      <c r="C16" s="581"/>
      <c r="D16" s="581"/>
      <c r="E16" s="581"/>
      <c r="F16" s="581"/>
      <c r="G16" s="581"/>
      <c r="H16" s="581"/>
      <c r="I16" s="581"/>
      <c r="J16" s="581"/>
    </row>
    <row r="17" spans="2:10" ht="45.75" customHeight="1" x14ac:dyDescent="0.25">
      <c r="B17" s="581" t="s">
        <v>1168</v>
      </c>
      <c r="C17" s="581"/>
      <c r="D17" s="581"/>
      <c r="E17" s="581"/>
      <c r="F17" s="581"/>
      <c r="G17" s="581"/>
      <c r="H17" s="581"/>
      <c r="I17" s="581"/>
      <c r="J17" s="581"/>
    </row>
    <row r="18" spans="2:10" x14ac:dyDescent="0.25">
      <c r="B18" s="4"/>
      <c r="C18" s="275"/>
      <c r="D18" s="275"/>
      <c r="E18" s="275"/>
      <c r="F18" s="4"/>
      <c r="G18" s="4"/>
      <c r="H18" s="374"/>
      <c r="I18" s="4"/>
      <c r="J18" s="4"/>
    </row>
    <row r="19" spans="2:10" x14ac:dyDescent="0.25">
      <c r="B19" s="4"/>
      <c r="C19" s="275"/>
      <c r="D19" s="275"/>
      <c r="E19" s="275"/>
      <c r="F19" s="4"/>
      <c r="G19" s="4"/>
      <c r="H19" s="4"/>
      <c r="I19" s="4"/>
      <c r="J19" s="4"/>
    </row>
    <row r="20" spans="2:10" x14ac:dyDescent="0.25">
      <c r="B20" s="4"/>
      <c r="C20" s="275"/>
      <c r="D20" s="275"/>
      <c r="E20" s="275"/>
      <c r="F20" s="275"/>
      <c r="G20" s="275"/>
      <c r="H20" s="275"/>
      <c r="I20" s="275"/>
      <c r="J20" s="4"/>
    </row>
    <row r="21" spans="2:10" x14ac:dyDescent="0.25">
      <c r="B21" s="4"/>
      <c r="C21" s="275"/>
      <c r="D21" s="275"/>
      <c r="E21" s="275"/>
      <c r="F21" s="275"/>
      <c r="G21" s="275"/>
      <c r="H21" s="275"/>
      <c r="I21" s="275"/>
      <c r="J21" s="4"/>
    </row>
    <row r="22" spans="2:10" x14ac:dyDescent="0.25">
      <c r="B22" s="4"/>
      <c r="C22" s="275"/>
      <c r="D22" s="275"/>
      <c r="E22" s="275"/>
      <c r="F22" s="275"/>
      <c r="G22" s="275"/>
      <c r="H22" s="275"/>
      <c r="I22" s="275"/>
      <c r="J22" s="4"/>
    </row>
    <row r="23" spans="2:10" x14ac:dyDescent="0.25">
      <c r="B23" s="4"/>
      <c r="C23" s="275"/>
      <c r="D23" s="275"/>
      <c r="E23" s="275"/>
      <c r="F23" s="275"/>
      <c r="G23" s="275"/>
      <c r="H23" s="275"/>
      <c r="I23" s="275"/>
      <c r="J23" s="4"/>
    </row>
    <row r="24" spans="2:10" x14ac:dyDescent="0.25">
      <c r="B24" s="4"/>
      <c r="C24" s="275"/>
      <c r="D24" s="275"/>
      <c r="E24" s="275"/>
      <c r="F24" s="275"/>
      <c r="G24" s="275"/>
      <c r="H24" s="275"/>
      <c r="I24" s="275"/>
      <c r="J24" s="4"/>
    </row>
    <row r="25" spans="2:10" x14ac:dyDescent="0.25">
      <c r="B25" s="4"/>
      <c r="C25" s="275"/>
      <c r="D25" s="275"/>
      <c r="E25" s="275"/>
      <c r="F25" s="4"/>
      <c r="G25" s="4"/>
      <c r="H25" s="4"/>
      <c r="I25" s="4"/>
      <c r="J25" s="4"/>
    </row>
    <row r="26" spans="2:10" x14ac:dyDescent="0.25">
      <c r="B26" s="4"/>
      <c r="C26" s="275"/>
      <c r="D26" s="275"/>
      <c r="E26" s="275"/>
      <c r="F26" s="4"/>
      <c r="G26" s="4"/>
      <c r="H26" s="4"/>
      <c r="I26" s="4"/>
      <c r="J26" s="4"/>
    </row>
  </sheetData>
  <mergeCells count="2">
    <mergeCell ref="B16:J16"/>
    <mergeCell ref="B17:J17"/>
  </mergeCells>
  <pageMargins left="0.7" right="0.7" top="0.75" bottom="0.75" header="0.3" footer="0.3"/>
  <pageSetup orientation="portrait" r:id="rId1"/>
  <ignoredErrors>
    <ignoredError sqref="E8"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95232-5508-44FD-8691-6AA310591F31}">
  <sheetPr>
    <pageSetUpPr fitToPage="1"/>
  </sheetPr>
  <dimension ref="B2:H28"/>
  <sheetViews>
    <sheetView showGridLines="0" topLeftCell="A13" zoomScale="80" zoomScaleNormal="80" workbookViewId="0">
      <selection activeCell="H15" sqref="H15"/>
    </sheetView>
  </sheetViews>
  <sheetFormatPr baseColWidth="10" defaultColWidth="11.28515625" defaultRowHeight="15" x14ac:dyDescent="0.25"/>
  <cols>
    <col min="1" max="1" width="11.28515625" style="297"/>
    <col min="2" max="2" width="12.85546875" style="465" customWidth="1"/>
    <col min="3" max="3" width="10.85546875" style="466" customWidth="1"/>
    <col min="4" max="4" width="22.140625" style="467" customWidth="1"/>
    <col min="5" max="5" width="15.140625" style="468" customWidth="1"/>
    <col min="6" max="6" width="66" style="469" customWidth="1"/>
    <col min="7" max="7" width="18" style="470" customWidth="1"/>
    <col min="8" max="8" width="46.140625" style="297" customWidth="1"/>
    <col min="9" max="16384" width="11.28515625" style="297"/>
  </cols>
  <sheetData>
    <row r="2" spans="2:8" ht="18" x14ac:dyDescent="0.25">
      <c r="B2" s="582"/>
      <c r="C2" s="582"/>
      <c r="D2" s="582"/>
      <c r="E2" s="582"/>
      <c r="F2" s="582"/>
      <c r="G2" s="582"/>
      <c r="H2" s="582"/>
    </row>
    <row r="3" spans="2:8" s="336" customFormat="1" ht="18" x14ac:dyDescent="0.25">
      <c r="B3" s="583" t="s">
        <v>1155</v>
      </c>
      <c r="C3" s="583"/>
      <c r="D3" s="583"/>
      <c r="E3" s="583"/>
      <c r="F3" s="583"/>
      <c r="G3" s="583"/>
      <c r="H3" s="583"/>
    </row>
    <row r="4" spans="2:8" ht="16.5" customHeight="1" x14ac:dyDescent="0.25">
      <c r="D4" s="471"/>
    </row>
    <row r="5" spans="2:8" ht="57" customHeight="1" x14ac:dyDescent="0.25">
      <c r="B5" s="472" t="s">
        <v>1105</v>
      </c>
      <c r="C5" s="472" t="s">
        <v>1106</v>
      </c>
      <c r="D5" s="472" t="s">
        <v>1107</v>
      </c>
      <c r="E5" s="472" t="s">
        <v>1108</v>
      </c>
      <c r="F5" s="473" t="s">
        <v>1109</v>
      </c>
      <c r="G5" s="474" t="s">
        <v>1110</v>
      </c>
      <c r="H5" s="475" t="s">
        <v>1138</v>
      </c>
    </row>
    <row r="6" spans="2:8" s="482" customFormat="1" ht="42.75" customHeight="1" x14ac:dyDescent="0.25">
      <c r="B6" s="476" t="s">
        <v>1112</v>
      </c>
      <c r="C6" s="477" t="s">
        <v>1113</v>
      </c>
      <c r="D6" s="483" t="s">
        <v>1114</v>
      </c>
      <c r="E6" s="478" t="s">
        <v>1115</v>
      </c>
      <c r="F6" s="479" t="s">
        <v>1116</v>
      </c>
      <c r="G6" s="480">
        <v>1368678</v>
      </c>
      <c r="H6" s="481" t="s">
        <v>1117</v>
      </c>
    </row>
    <row r="7" spans="2:8" s="482" customFormat="1" ht="60" x14ac:dyDescent="0.25">
      <c r="B7" s="476" t="s">
        <v>1112</v>
      </c>
      <c r="C7" s="477" t="s">
        <v>1118</v>
      </c>
      <c r="D7" s="483" t="s">
        <v>1119</v>
      </c>
      <c r="E7" s="478" t="s">
        <v>1120</v>
      </c>
      <c r="F7" s="479" t="s">
        <v>1121</v>
      </c>
      <c r="G7" s="480">
        <v>6034715</v>
      </c>
      <c r="H7" s="481" t="s">
        <v>1122</v>
      </c>
    </row>
    <row r="8" spans="2:8" s="482" customFormat="1" ht="60" x14ac:dyDescent="0.25">
      <c r="B8" s="476" t="s">
        <v>1112</v>
      </c>
      <c r="C8" s="477" t="s">
        <v>1123</v>
      </c>
      <c r="D8" s="483" t="s">
        <v>1124</v>
      </c>
      <c r="E8" s="478" t="s">
        <v>1115</v>
      </c>
      <c r="F8" s="479" t="s">
        <v>1125</v>
      </c>
      <c r="G8" s="480">
        <v>1443562</v>
      </c>
      <c r="H8" s="481" t="s">
        <v>1126</v>
      </c>
    </row>
    <row r="9" spans="2:8" s="482" customFormat="1" ht="60" customHeight="1" x14ac:dyDescent="0.25">
      <c r="B9" s="476" t="s">
        <v>1112</v>
      </c>
      <c r="C9" s="477" t="s">
        <v>1128</v>
      </c>
      <c r="D9" s="483" t="s">
        <v>1129</v>
      </c>
      <c r="E9" s="478" t="s">
        <v>1130</v>
      </c>
      <c r="F9" s="479" t="s">
        <v>1131</v>
      </c>
      <c r="G9" s="480">
        <v>16072394</v>
      </c>
      <c r="H9" s="481" t="s">
        <v>1132</v>
      </c>
    </row>
    <row r="10" spans="2:8" s="482" customFormat="1" ht="45" x14ac:dyDescent="0.25">
      <c r="B10" s="476" t="s">
        <v>1112</v>
      </c>
      <c r="C10" s="477" t="s">
        <v>1134</v>
      </c>
      <c r="D10" s="477" t="s">
        <v>1135</v>
      </c>
      <c r="E10" s="478" t="s">
        <v>1130</v>
      </c>
      <c r="F10" s="479" t="s">
        <v>1136</v>
      </c>
      <c r="G10" s="480">
        <v>11187581</v>
      </c>
      <c r="H10" s="481" t="s">
        <v>1156</v>
      </c>
    </row>
    <row r="11" spans="2:8" s="490" customFormat="1" x14ac:dyDescent="0.25">
      <c r="B11" s="484"/>
      <c r="C11" s="484"/>
      <c r="D11" s="485" t="s">
        <v>1137</v>
      </c>
      <c r="E11" s="486"/>
      <c r="F11" s="487"/>
      <c r="G11" s="488">
        <f>SUBTOTAL(109,Tabla1343644[Saldo por girar con presupuesto 2021])</f>
        <v>36106930</v>
      </c>
      <c r="H11" s="489"/>
    </row>
    <row r="13" spans="2:8" ht="57" customHeight="1" x14ac:dyDescent="0.25">
      <c r="B13" s="491" t="s">
        <v>1105</v>
      </c>
      <c r="C13" s="491" t="s">
        <v>1106</v>
      </c>
      <c r="D13" s="491" t="s">
        <v>1107</v>
      </c>
      <c r="E13" s="491" t="s">
        <v>1108</v>
      </c>
      <c r="F13" s="473" t="s">
        <v>1109</v>
      </c>
      <c r="G13" s="492" t="s">
        <v>1110</v>
      </c>
      <c r="H13" s="475" t="s">
        <v>1138</v>
      </c>
    </row>
    <row r="14" spans="2:8" s="482" customFormat="1" ht="45" x14ac:dyDescent="0.25">
      <c r="B14" s="476" t="s">
        <v>1139</v>
      </c>
      <c r="C14" s="477" t="s">
        <v>1140</v>
      </c>
      <c r="D14" s="483" t="s">
        <v>1141</v>
      </c>
      <c r="E14" s="478" t="s">
        <v>1130</v>
      </c>
      <c r="F14" s="493" t="s">
        <v>1142</v>
      </c>
      <c r="G14" s="480">
        <v>7998161</v>
      </c>
      <c r="H14" s="494" t="s">
        <v>1143</v>
      </c>
    </row>
    <row r="15" spans="2:8" s="482" customFormat="1" ht="45" x14ac:dyDescent="0.25">
      <c r="B15" s="476" t="s">
        <v>1139</v>
      </c>
      <c r="C15" s="477" t="s">
        <v>1144</v>
      </c>
      <c r="D15" s="483" t="s">
        <v>1127</v>
      </c>
      <c r="E15" s="478" t="s">
        <v>1130</v>
      </c>
      <c r="F15" s="493" t="s">
        <v>1142</v>
      </c>
      <c r="G15" s="480">
        <v>1801523</v>
      </c>
      <c r="H15" s="494" t="s">
        <v>1143</v>
      </c>
    </row>
    <row r="16" spans="2:8" s="482" customFormat="1" ht="45" x14ac:dyDescent="0.25">
      <c r="B16" s="476" t="s">
        <v>1139</v>
      </c>
      <c r="C16" s="477" t="s">
        <v>1145</v>
      </c>
      <c r="D16" s="483" t="s">
        <v>1146</v>
      </c>
      <c r="E16" s="478" t="s">
        <v>1130</v>
      </c>
      <c r="F16" s="493" t="s">
        <v>1142</v>
      </c>
      <c r="G16" s="480">
        <v>4964052</v>
      </c>
      <c r="H16" s="494" t="s">
        <v>1143</v>
      </c>
    </row>
    <row r="17" spans="2:8" s="482" customFormat="1" ht="45" x14ac:dyDescent="0.25">
      <c r="B17" s="476" t="s">
        <v>1139</v>
      </c>
      <c r="C17" s="477" t="s">
        <v>1147</v>
      </c>
      <c r="D17" s="483" t="s">
        <v>1129</v>
      </c>
      <c r="E17" s="478" t="s">
        <v>1130</v>
      </c>
      <c r="F17" s="493" t="s">
        <v>1142</v>
      </c>
      <c r="G17" s="480">
        <v>3783934</v>
      </c>
      <c r="H17" s="494" t="s">
        <v>1143</v>
      </c>
    </row>
    <row r="18" spans="2:8" s="482" customFormat="1" ht="45" x14ac:dyDescent="0.25">
      <c r="B18" s="476" t="s">
        <v>1139</v>
      </c>
      <c r="C18" s="477" t="s">
        <v>1148</v>
      </c>
      <c r="D18" s="483" t="s">
        <v>1133</v>
      </c>
      <c r="E18" s="478" t="s">
        <v>1130</v>
      </c>
      <c r="F18" s="493" t="s">
        <v>1149</v>
      </c>
      <c r="G18" s="480">
        <v>2776442</v>
      </c>
      <c r="H18" s="494" t="s">
        <v>1150</v>
      </c>
    </row>
    <row r="19" spans="2:8" s="482" customFormat="1" ht="45" x14ac:dyDescent="0.25">
      <c r="B19" s="476" t="s">
        <v>1139</v>
      </c>
      <c r="C19" s="477" t="s">
        <v>1151</v>
      </c>
      <c r="D19" s="483" t="s">
        <v>1133</v>
      </c>
      <c r="E19" s="478" t="s">
        <v>1130</v>
      </c>
      <c r="F19" s="493" t="s">
        <v>1152</v>
      </c>
      <c r="G19" s="480">
        <v>10570318</v>
      </c>
      <c r="H19" s="494" t="s">
        <v>1150</v>
      </c>
    </row>
    <row r="20" spans="2:8" s="490" customFormat="1" x14ac:dyDescent="0.25">
      <c r="B20" s="484"/>
      <c r="C20" s="484"/>
      <c r="D20" s="485" t="s">
        <v>1153</v>
      </c>
      <c r="E20" s="486"/>
      <c r="F20" s="495"/>
      <c r="G20" s="488">
        <f>SUM(G14:G19)</f>
        <v>31894430</v>
      </c>
      <c r="H20" s="484"/>
    </row>
    <row r="22" spans="2:8" s="503" customFormat="1" ht="15.75" x14ac:dyDescent="0.25">
      <c r="B22" s="496" t="s">
        <v>1154</v>
      </c>
      <c r="C22" s="497"/>
      <c r="D22" s="498"/>
      <c r="E22" s="499"/>
      <c r="F22" s="500"/>
      <c r="G22" s="501">
        <f>+G20+Tabla1343644[[#Totals],[Saldo por girar con presupuesto 2021]]</f>
        <v>68001360</v>
      </c>
      <c r="H22" s="502"/>
    </row>
    <row r="24" spans="2:8" s="336" customFormat="1" ht="18" x14ac:dyDescent="0.25">
      <c r="B24" s="583" t="s">
        <v>1157</v>
      </c>
      <c r="C24" s="583"/>
      <c r="D24" s="583"/>
      <c r="E24" s="583"/>
      <c r="F24" s="583"/>
      <c r="G24" s="583"/>
      <c r="H24" s="583"/>
    </row>
    <row r="25" spans="2:8" ht="16.5" customHeight="1" x14ac:dyDescent="0.25">
      <c r="D25" s="471"/>
    </row>
    <row r="26" spans="2:8" ht="57" customHeight="1" x14ac:dyDescent="0.25">
      <c r="B26" s="472" t="s">
        <v>1105</v>
      </c>
      <c r="C26" s="472" t="s">
        <v>1106</v>
      </c>
      <c r="D26" s="472" t="s">
        <v>1107</v>
      </c>
      <c r="E26" s="472" t="s">
        <v>1108</v>
      </c>
      <c r="F26" s="473" t="s">
        <v>1109</v>
      </c>
      <c r="G26" s="474" t="s">
        <v>1110</v>
      </c>
      <c r="H26" s="475" t="s">
        <v>1111</v>
      </c>
    </row>
    <row r="27" spans="2:8" s="482" customFormat="1" ht="62.25" customHeight="1" x14ac:dyDescent="0.25">
      <c r="B27" s="476" t="s">
        <v>1112</v>
      </c>
      <c r="C27" s="477" t="s">
        <v>1158</v>
      </c>
      <c r="D27" s="483" t="s">
        <v>1119</v>
      </c>
      <c r="E27" s="478" t="s">
        <v>1120</v>
      </c>
      <c r="F27" s="479" t="s">
        <v>1159</v>
      </c>
      <c r="G27" s="480">
        <v>35991956</v>
      </c>
      <c r="H27" s="481" t="s">
        <v>1156</v>
      </c>
    </row>
    <row r="28" spans="2:8" s="490" customFormat="1" x14ac:dyDescent="0.25">
      <c r="B28" s="484"/>
      <c r="C28" s="484"/>
      <c r="D28" s="485" t="s">
        <v>1137</v>
      </c>
      <c r="E28" s="486"/>
      <c r="F28" s="487"/>
      <c r="G28" s="488">
        <f>SUBTOTAL(109,Tabla1343643[Saldo por girar con presupuesto 2021])</f>
        <v>35991956</v>
      </c>
      <c r="H28" s="489"/>
    </row>
  </sheetData>
  <mergeCells count="3">
    <mergeCell ref="B2:H2"/>
    <mergeCell ref="B3:H3"/>
    <mergeCell ref="B24:H24"/>
  </mergeCells>
  <dataValidations count="1">
    <dataValidation showInputMessage="1" showErrorMessage="1" sqref="E6:E8 E27" xr:uid="{F2B744CD-546E-4F24-A398-24EA15CD8F8F}"/>
  </dataValidations>
  <printOptions horizontalCentered="1"/>
  <pageMargins left="0.39370078740157483" right="0.39370078740157483" top="0.74803149606299213" bottom="0.74803149606299213" header="0.31496062992125984" footer="0.31496062992125984"/>
  <pageSetup paperSize="9" scale="52" fitToHeight="0" orientation="landscape"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8</vt:i4>
      </vt:variant>
    </vt:vector>
  </HeadingPairs>
  <TitlesOfParts>
    <vt:vector size="22" baseType="lpstr">
      <vt:lpstr>Tabla dinámica</vt:lpstr>
      <vt:lpstr>Matriz POI -Presupuesto</vt:lpstr>
      <vt:lpstr>Tabla 1 Ingresos y egresos</vt:lpstr>
      <vt:lpstr>Tabla 2 Ejecución por FF</vt:lpstr>
      <vt:lpstr>Tabla 3 Ingresos por partida</vt:lpstr>
      <vt:lpstr>Tabla 4 Detalle Superávit</vt:lpstr>
      <vt:lpstr>Tabla 5 Egresos por partida</vt:lpstr>
      <vt:lpstr>Tabla 6 Saldo disp. FI y FT</vt:lpstr>
      <vt:lpstr>Tabala 7 Detalle proyectos</vt:lpstr>
      <vt:lpstr>Tabla 8 Presup. por programas</vt:lpstr>
      <vt:lpstr>Tabla 9 Conciliación</vt:lpstr>
      <vt:lpstr>Anexo 4 Ejecución por CE</vt:lpstr>
      <vt:lpstr>Anexo 5 Tabla equv.CE y OBG</vt:lpstr>
      <vt:lpstr>Anexo 6 Detalle Transferencias</vt:lpstr>
      <vt:lpstr>'Anexo 4 Ejecución por CE'!AREA</vt:lpstr>
      <vt:lpstr>'Anexo 5 Tabla equv.CE y OBG'!AREA</vt:lpstr>
      <vt:lpstr>'Anexo 4 Ejecución por CE'!Área_de_impresión</vt:lpstr>
      <vt:lpstr>'Anexo 5 Tabla equv.CE y OBG'!Área_de_impresión</vt:lpstr>
      <vt:lpstr>'Tabla 3 Ingresos por partida'!Área_de_impresión</vt:lpstr>
      <vt:lpstr>'Anexo 4 Ejecución por CE'!Títulos_a_imprimir</vt:lpstr>
      <vt:lpstr>'Anexo 5 Tabla equv.CE y OBG'!Títulos_a_imprimir</vt:lpstr>
      <vt:lpstr>'Tabla 8 Presup. por programas'!Títulos_a_imprimir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szuniga</dc:creator>
  <cp:lastModifiedBy>Seidy Zuniga</cp:lastModifiedBy>
  <cp:lastPrinted>2021-07-01T18:15:48Z</cp:lastPrinted>
  <dcterms:created xsi:type="dcterms:W3CDTF">2018-10-03T18:06:40Z</dcterms:created>
  <dcterms:modified xsi:type="dcterms:W3CDTF">2021-07-05T18:33:40Z</dcterms:modified>
</cp:coreProperties>
</file>