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mc:AlternateContent xmlns:mc="http://schemas.openxmlformats.org/markup-compatibility/2006">
    <mc:Choice Requires="x15">
      <x15ac:absPath xmlns:x15ac="http://schemas.microsoft.com/office/spreadsheetml/2010/11/ac" url="D:\Documents\Seidy Zúñiga\1 PRESUPUESTO\2021\EJECUCIÓN TRIMESTRAL STAP\III TRIMESTRE\"/>
    </mc:Choice>
  </mc:AlternateContent>
  <xr:revisionPtr revIDLastSave="0" documentId="13_ncr:1_{348AE474-E576-4904-AE76-A3023047F946}" xr6:coauthVersionLast="36" xr6:coauthVersionMax="36" xr10:uidLastSave="{00000000-0000-0000-0000-000000000000}"/>
  <bookViews>
    <workbookView xWindow="0" yWindow="0" windowWidth="19200" windowHeight="11385" tabRatio="871" firstSheet="1" activeTab="2" xr2:uid="{00000000-000D-0000-FFFF-FFFF00000000}"/>
  </bookViews>
  <sheets>
    <sheet name="Tabla dinámica" sheetId="76" r:id="rId1"/>
    <sheet name="Matriz POI Presupuesto" sheetId="75" r:id="rId2"/>
    <sheet name="Tabla 1 Ingresos y egresos " sheetId="3" r:id="rId3"/>
    <sheet name="Tabla 2 Ejecución por FF" sheetId="60" r:id="rId4"/>
    <sheet name="Tabla 3 Ingresos por partida" sheetId="36" r:id="rId5"/>
    <sheet name="Tabla 4 Detalle Superávit" sheetId="64" r:id="rId6"/>
    <sheet name="Tabla 5 Egresos por partida" sheetId="67" r:id="rId7"/>
    <sheet name="Tabla 6 Saldo disp. FI y FT" sheetId="77" r:id="rId8"/>
    <sheet name="Tabala 7 Detalle proyectos" sheetId="71" r:id="rId9"/>
    <sheet name="Tabla 8 Presup. por programas" sheetId="78" r:id="rId10"/>
    <sheet name="Tabla 9 CONCILIACIÓN SETIEMBRE" sheetId="82" r:id="rId11"/>
    <sheet name="Anexo 6 Detalle Transferencias" sheetId="58" r:id="rId12"/>
  </sheets>
  <externalReferences>
    <externalReference r:id="rId13"/>
    <externalReference r:id="rId14"/>
    <externalReference r:id="rId15"/>
    <externalReference r:id="rId16"/>
  </externalReferences>
  <definedNames>
    <definedName name="_xlnm._FilterDatabase" localSheetId="1" hidden="1">'Matriz POI Presupuesto'!$B$12:$AA$119</definedName>
    <definedName name="_xlnm._FilterDatabase" localSheetId="8" hidden="1">'Tabala 7 Detalle proyectos'!#REF!</definedName>
    <definedName name="_xlnm.Print_Area" localSheetId="4">'Tabla 3 Ingresos por partida'!$B$1:$R$47</definedName>
    <definedName name="COLABORADOR" localSheetId="1">[1]Hoja2!$B$27:$B$69</definedName>
    <definedName name="COLABORADOR">[2]Hoja2!$B$26:$B$68</definedName>
    <definedName name="FUENTE" localSheetId="1">[1]Hoja2!$C$4:$C$15</definedName>
    <definedName name="FUENTE">[2]Hoja2!$C$4:$C$16</definedName>
    <definedName name="NOMBREMETA" localSheetId="11">#REF!</definedName>
    <definedName name="NOMBREMETA" localSheetId="1">'Matriz POI Presupuesto'!#REF!</definedName>
    <definedName name="NOMBREMETA" localSheetId="3">#REF!</definedName>
    <definedName name="NOMBREMETA" localSheetId="4">'[2]PRE-2020'!$D$28:$D$54</definedName>
    <definedName name="NOMBREMETA" localSheetId="6">#REF!</definedName>
    <definedName name="NOMBREMETA" localSheetId="10">#REF!</definedName>
    <definedName name="NOMBREMETA">#REF!</definedName>
    <definedName name="PARTIDAS" localSheetId="1">[1]partidas!$B$3:$B$13</definedName>
    <definedName name="PARTIDAS">[2]partidas!$B$3:$B$13</definedName>
    <definedName name="proyecto" localSheetId="10">[3]Hoja2!$B$4:$B$23</definedName>
    <definedName name="proyecto">[4]Hoja2!$B$4:$B$23</definedName>
    <definedName name="_xlnm.Print_Titles" localSheetId="9">'Tabla 8 Presup. por programas'!$2:$4</definedName>
    <definedName name="UNIDAD" localSheetId="1">[1]Hoja2!$B$4:$B$24</definedName>
    <definedName name="UNIDAD">[2]Hoja2!$B$4:$B$23</definedName>
  </definedNames>
  <calcPr calcId="191029"/>
  <pivotCaches>
    <pivotCache cacheId="0" r:id="rId17"/>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5" i="82" l="1"/>
  <c r="C23" i="82"/>
  <c r="C21" i="82"/>
  <c r="C29" i="82" s="1"/>
  <c r="D18" i="82"/>
  <c r="C16" i="82"/>
  <c r="D11" i="82"/>
  <c r="C30" i="82" l="1"/>
  <c r="C32" i="82" s="1"/>
  <c r="C35" i="82" s="1"/>
  <c r="Q16" i="36"/>
  <c r="P5" i="36"/>
  <c r="P15" i="36"/>
  <c r="P7" i="36"/>
  <c r="P28" i="36"/>
  <c r="P24" i="36" s="1"/>
  <c r="P20" i="36"/>
  <c r="P19" i="36"/>
  <c r="P17" i="36"/>
  <c r="P16" i="36"/>
  <c r="N16" i="36"/>
  <c r="G27" i="71" l="1"/>
  <c r="G16" i="71"/>
  <c r="G29" i="71" s="1"/>
  <c r="G20" i="78" l="1"/>
  <c r="G19" i="78" s="1"/>
  <c r="G14" i="78"/>
  <c r="G13" i="78" s="1"/>
  <c r="H29" i="78"/>
  <c r="H27" i="78"/>
  <c r="H24" i="78"/>
  <c r="G24" i="78"/>
  <c r="F24" i="78"/>
  <c r="E24" i="78"/>
  <c r="D24" i="78"/>
  <c r="C24" i="78"/>
  <c r="I7" i="77" l="1"/>
  <c r="I6" i="77"/>
  <c r="R120" i="75" l="1"/>
  <c r="E13" i="67" l="1"/>
  <c r="E15" i="67"/>
  <c r="E16" i="67"/>
  <c r="E17" i="67"/>
  <c r="E18" i="67"/>
  <c r="E19" i="67"/>
  <c r="E14" i="67"/>
  <c r="J13" i="3"/>
  <c r="D15" i="67"/>
  <c r="D16" i="67"/>
  <c r="D17" i="67"/>
  <c r="D18" i="67"/>
  <c r="D19" i="67"/>
  <c r="D14" i="67"/>
  <c r="C19" i="67"/>
  <c r="C18" i="67"/>
  <c r="C17" i="67"/>
  <c r="C16" i="67"/>
  <c r="C15" i="67"/>
  <c r="C14" i="67"/>
  <c r="D39" i="58" l="1"/>
  <c r="D38" i="58"/>
  <c r="F32" i="78"/>
  <c r="F11" i="78"/>
  <c r="D10" i="60"/>
  <c r="S13" i="3"/>
  <c r="R13" i="3"/>
  <c r="Q13" i="3"/>
  <c r="Q18" i="3"/>
  <c r="R116" i="75"/>
  <c r="R117" i="75"/>
  <c r="K15" i="36"/>
  <c r="K7" i="36" s="1"/>
  <c r="O16" i="36"/>
  <c r="O15" i="36" s="1"/>
  <c r="D34" i="58" l="1"/>
  <c r="H38" i="78"/>
  <c r="G38" i="78"/>
  <c r="G37" i="78" s="1"/>
  <c r="F37" i="78"/>
  <c r="H37" i="78" s="1"/>
  <c r="E37" i="78"/>
  <c r="D37" i="78"/>
  <c r="C37" i="78"/>
  <c r="H36" i="78"/>
  <c r="G36" i="78"/>
  <c r="H35" i="78"/>
  <c r="G35" i="78"/>
  <c r="G34" i="78" s="1"/>
  <c r="F34" i="78"/>
  <c r="H34" i="78" s="1"/>
  <c r="E34" i="78"/>
  <c r="D34" i="78"/>
  <c r="C34" i="78"/>
  <c r="H33" i="78"/>
  <c r="G33" i="78"/>
  <c r="H32" i="78"/>
  <c r="G32" i="78"/>
  <c r="H31" i="78"/>
  <c r="G31" i="78"/>
  <c r="H30" i="78"/>
  <c r="G30" i="78"/>
  <c r="G29" i="78"/>
  <c r="H28" i="78"/>
  <c r="G28" i="78"/>
  <c r="G27" i="78" s="1"/>
  <c r="F27" i="78"/>
  <c r="E27" i="78"/>
  <c r="D27" i="78"/>
  <c r="C27" i="78"/>
  <c r="H26" i="78"/>
  <c r="G26" i="78"/>
  <c r="H25" i="78"/>
  <c r="F25" i="78"/>
  <c r="E25" i="78"/>
  <c r="D25" i="78"/>
  <c r="C25" i="78"/>
  <c r="G25" i="78" s="1"/>
  <c r="G22" i="78"/>
  <c r="G21" i="78" s="1"/>
  <c r="C22" i="78"/>
  <c r="H22" i="78" s="1"/>
  <c r="F21" i="78"/>
  <c r="E21" i="78"/>
  <c r="D21" i="78"/>
  <c r="C21" i="78"/>
  <c r="H20" i="78"/>
  <c r="F19" i="78"/>
  <c r="E19" i="78"/>
  <c r="D19" i="78"/>
  <c r="C19" i="78"/>
  <c r="G18" i="78"/>
  <c r="G17" i="78" s="1"/>
  <c r="E17" i="78"/>
  <c r="D17" i="78"/>
  <c r="C17" i="78"/>
  <c r="H16" i="78"/>
  <c r="G16" i="78"/>
  <c r="F15" i="78"/>
  <c r="H15" i="78" s="1"/>
  <c r="E15" i="78"/>
  <c r="D15" i="78"/>
  <c r="C15" i="78"/>
  <c r="G15" i="78" s="1"/>
  <c r="H14" i="78"/>
  <c r="F13" i="78"/>
  <c r="H13" i="78" s="1"/>
  <c r="E13" i="78"/>
  <c r="D13" i="78"/>
  <c r="C13" i="78"/>
  <c r="H12" i="78"/>
  <c r="G12" i="78"/>
  <c r="H11" i="78"/>
  <c r="G11" i="78"/>
  <c r="H10" i="78"/>
  <c r="G10" i="78"/>
  <c r="H9" i="78"/>
  <c r="D9" i="78"/>
  <c r="D8" i="78" s="1"/>
  <c r="D5" i="78" s="1"/>
  <c r="D39" i="78" s="1"/>
  <c r="F8" i="78"/>
  <c r="H8" i="78" s="1"/>
  <c r="E8" i="78"/>
  <c r="C8" i="78"/>
  <c r="H7" i="78"/>
  <c r="G7" i="78"/>
  <c r="G6" i="78"/>
  <c r="F6" i="78"/>
  <c r="E6" i="78"/>
  <c r="E5" i="78" s="1"/>
  <c r="E39" i="78" s="1"/>
  <c r="D6" i="78"/>
  <c r="C6" i="78"/>
  <c r="H12" i="77"/>
  <c r="G12" i="77"/>
  <c r="F12" i="77"/>
  <c r="D12" i="77"/>
  <c r="C12" i="77"/>
  <c r="C13" i="77" s="1"/>
  <c r="E11" i="77"/>
  <c r="J11" i="77" s="1"/>
  <c r="I10" i="77"/>
  <c r="E10" i="77"/>
  <c r="E12" i="77" s="1"/>
  <c r="I12" i="77" s="1"/>
  <c r="E9" i="77"/>
  <c r="I9" i="77" s="1"/>
  <c r="G8" i="77"/>
  <c r="F8" i="77"/>
  <c r="F13" i="77" s="1"/>
  <c r="E8" i="77"/>
  <c r="D8" i="77"/>
  <c r="D13" i="77" s="1"/>
  <c r="C8" i="77"/>
  <c r="J7" i="77"/>
  <c r="E7" i="77"/>
  <c r="H8" i="77"/>
  <c r="E6" i="77"/>
  <c r="F17" i="67"/>
  <c r="F16" i="67"/>
  <c r="F15" i="67"/>
  <c r="F14" i="67"/>
  <c r="C13" i="67"/>
  <c r="G15" i="67"/>
  <c r="C10" i="60"/>
  <c r="E18" i="3"/>
  <c r="E17" i="3"/>
  <c r="F14" i="3"/>
  <c r="E14" i="3"/>
  <c r="R18" i="3"/>
  <c r="F18" i="67" s="1"/>
  <c r="R15" i="3"/>
  <c r="R14" i="3"/>
  <c r="G9" i="78" l="1"/>
  <c r="G8" i="78" s="1"/>
  <c r="G5" i="78" s="1"/>
  <c r="H19" i="78"/>
  <c r="H6" i="78"/>
  <c r="C5" i="78"/>
  <c r="C39" i="78" s="1"/>
  <c r="G13" i="77"/>
  <c r="G19" i="67"/>
  <c r="H19" i="67" s="1"/>
  <c r="G17" i="67"/>
  <c r="H17" i="67" s="1"/>
  <c r="G16" i="67"/>
  <c r="H16" i="67" s="1"/>
  <c r="G14" i="67"/>
  <c r="H14" i="67" s="1"/>
  <c r="F13" i="67"/>
  <c r="F5" i="78"/>
  <c r="I8" i="77"/>
  <c r="H13" i="77"/>
  <c r="J8" i="77"/>
  <c r="J12" i="77"/>
  <c r="E13" i="77"/>
  <c r="J6" i="77"/>
  <c r="I11" i="77"/>
  <c r="H15" i="67"/>
  <c r="G18" i="67"/>
  <c r="D13" i="67"/>
  <c r="P11" i="36"/>
  <c r="P10" i="3"/>
  <c r="O10" i="3"/>
  <c r="I13" i="77" l="1"/>
  <c r="G13" i="67"/>
  <c r="H13" i="67" s="1"/>
  <c r="H18" i="67"/>
  <c r="G39" i="78"/>
  <c r="H5" i="78"/>
  <c r="F39" i="78"/>
  <c r="H39" i="78" s="1"/>
  <c r="J13" i="77"/>
  <c r="Q32" i="36" l="1"/>
  <c r="S14" i="3"/>
  <c r="Q120" i="75"/>
  <c r="P120" i="75"/>
  <c r="M120" i="75"/>
  <c r="L120" i="75"/>
  <c r="K120" i="75"/>
  <c r="J120" i="75"/>
  <c r="I120" i="75"/>
  <c r="H120" i="75"/>
  <c r="G120" i="75"/>
  <c r="F120" i="75"/>
  <c r="O119" i="75"/>
  <c r="S119" i="75" s="1"/>
  <c r="O118" i="75"/>
  <c r="S118" i="75" s="1"/>
  <c r="O117" i="75"/>
  <c r="S117" i="75" s="1"/>
  <c r="O116" i="75"/>
  <c r="S116" i="75" s="1"/>
  <c r="O115" i="75"/>
  <c r="S115" i="75" s="1"/>
  <c r="O114" i="75"/>
  <c r="S114" i="75" s="1"/>
  <c r="O113" i="75"/>
  <c r="S113" i="75" s="1"/>
  <c r="O112" i="75"/>
  <c r="S112" i="75" s="1"/>
  <c r="O111" i="75"/>
  <c r="S111" i="75" s="1"/>
  <c r="O110" i="75"/>
  <c r="S110" i="75" s="1"/>
  <c r="O109" i="75"/>
  <c r="S109" i="75" s="1"/>
  <c r="O108" i="75"/>
  <c r="S108" i="75" s="1"/>
  <c r="O107" i="75"/>
  <c r="S107" i="75" s="1"/>
  <c r="O106" i="75"/>
  <c r="S106" i="75" s="1"/>
  <c r="O105" i="75"/>
  <c r="S105" i="75" s="1"/>
  <c r="O104" i="75"/>
  <c r="S104" i="75" s="1"/>
  <c r="O103" i="75"/>
  <c r="S103" i="75" s="1"/>
  <c r="O102" i="75"/>
  <c r="S102" i="75" s="1"/>
  <c r="O101" i="75"/>
  <c r="S101" i="75" s="1"/>
  <c r="O100" i="75"/>
  <c r="S100" i="75" s="1"/>
  <c r="O99" i="75"/>
  <c r="S99" i="75" s="1"/>
  <c r="O98" i="75"/>
  <c r="S98" i="75" s="1"/>
  <c r="O97" i="75"/>
  <c r="S97" i="75" s="1"/>
  <c r="O96" i="75"/>
  <c r="S96" i="75" s="1"/>
  <c r="E95" i="75"/>
  <c r="O95" i="75" s="1"/>
  <c r="S95" i="75" s="1"/>
  <c r="O94" i="75"/>
  <c r="S94" i="75" s="1"/>
  <c r="O93" i="75"/>
  <c r="S93" i="75" s="1"/>
  <c r="O92" i="75"/>
  <c r="S92" i="75" s="1"/>
  <c r="O91" i="75"/>
  <c r="S91" i="75" s="1"/>
  <c r="O90" i="75"/>
  <c r="S90" i="75" s="1"/>
  <c r="O89" i="75"/>
  <c r="S89" i="75" s="1"/>
  <c r="O88" i="75"/>
  <c r="S88" i="75" s="1"/>
  <c r="O87" i="75"/>
  <c r="S87" i="75" s="1"/>
  <c r="O86" i="75"/>
  <c r="S86" i="75" s="1"/>
  <c r="E85" i="75"/>
  <c r="O85" i="75" s="1"/>
  <c r="S85" i="75" s="1"/>
  <c r="O84" i="75"/>
  <c r="S84" i="75" s="1"/>
  <c r="O83" i="75"/>
  <c r="S83" i="75" s="1"/>
  <c r="O82" i="75"/>
  <c r="S82" i="75" s="1"/>
  <c r="O81" i="75"/>
  <c r="S81" i="75" s="1"/>
  <c r="O80" i="75"/>
  <c r="S80" i="75" s="1"/>
  <c r="O79" i="75"/>
  <c r="S79" i="75" s="1"/>
  <c r="O78" i="75"/>
  <c r="S78" i="75" s="1"/>
  <c r="O77" i="75"/>
  <c r="S77" i="75" s="1"/>
  <c r="O76" i="75"/>
  <c r="S76" i="75" s="1"/>
  <c r="O75" i="75"/>
  <c r="S75" i="75" s="1"/>
  <c r="O74" i="75"/>
  <c r="S74" i="75" s="1"/>
  <c r="E74" i="75"/>
  <c r="O73" i="75"/>
  <c r="S73" i="75" s="1"/>
  <c r="O72" i="75"/>
  <c r="S72" i="75" s="1"/>
  <c r="O71" i="75"/>
  <c r="S71" i="75" s="1"/>
  <c r="O70" i="75"/>
  <c r="S70" i="75" s="1"/>
  <c r="O69" i="75"/>
  <c r="S69" i="75" s="1"/>
  <c r="O68" i="75"/>
  <c r="S68" i="75" s="1"/>
  <c r="E67" i="75"/>
  <c r="O67" i="75" s="1"/>
  <c r="S67" i="75" s="1"/>
  <c r="O66" i="75"/>
  <c r="S66" i="75" s="1"/>
  <c r="O65" i="75"/>
  <c r="S65" i="75" s="1"/>
  <c r="O64" i="75"/>
  <c r="S64" i="75" s="1"/>
  <c r="O63" i="75"/>
  <c r="S63" i="75" s="1"/>
  <c r="E63" i="75"/>
  <c r="O62" i="75"/>
  <c r="S62" i="75" s="1"/>
  <c r="O61" i="75"/>
  <c r="S61" i="75" s="1"/>
  <c r="O60" i="75"/>
  <c r="S60" i="75" s="1"/>
  <c r="O59" i="75"/>
  <c r="S59" i="75" s="1"/>
  <c r="O58" i="75"/>
  <c r="S58" i="75" s="1"/>
  <c r="O57" i="75"/>
  <c r="S57" i="75" s="1"/>
  <c r="O56" i="75"/>
  <c r="S56" i="75" s="1"/>
  <c r="O55" i="75"/>
  <c r="S55" i="75" s="1"/>
  <c r="O54" i="75"/>
  <c r="S54" i="75" s="1"/>
  <c r="O53" i="75"/>
  <c r="S53" i="75" s="1"/>
  <c r="O52" i="75"/>
  <c r="S52" i="75" s="1"/>
  <c r="O51" i="75"/>
  <c r="S51" i="75" s="1"/>
  <c r="O50" i="75"/>
  <c r="S50" i="75" s="1"/>
  <c r="O49" i="75"/>
  <c r="S49" i="75" s="1"/>
  <c r="O48" i="75"/>
  <c r="S48" i="75" s="1"/>
  <c r="O47" i="75"/>
  <c r="S47" i="75" s="1"/>
  <c r="O46" i="75"/>
  <c r="S46" i="75" s="1"/>
  <c r="O45" i="75"/>
  <c r="S45" i="75" s="1"/>
  <c r="E45" i="75"/>
  <c r="E120" i="75" s="1"/>
  <c r="O44" i="75"/>
  <c r="S44" i="75" s="1"/>
  <c r="O43" i="75"/>
  <c r="S43" i="75" s="1"/>
  <c r="O42" i="75"/>
  <c r="S42" i="75" s="1"/>
  <c r="O41" i="75"/>
  <c r="S41" i="75" s="1"/>
  <c r="O40" i="75"/>
  <c r="S40" i="75" s="1"/>
  <c r="O39" i="75"/>
  <c r="S39" i="75" s="1"/>
  <c r="O38" i="75"/>
  <c r="S38" i="75" s="1"/>
  <c r="O37" i="75"/>
  <c r="S37" i="75" s="1"/>
  <c r="O36" i="75"/>
  <c r="S36" i="75" s="1"/>
  <c r="O35" i="75"/>
  <c r="S35" i="75" s="1"/>
  <c r="O34" i="75"/>
  <c r="S34" i="75" s="1"/>
  <c r="O33" i="75"/>
  <c r="S33" i="75" s="1"/>
  <c r="O32" i="75"/>
  <c r="S32" i="75" s="1"/>
  <c r="O31" i="75"/>
  <c r="S31" i="75" s="1"/>
  <c r="O30" i="75"/>
  <c r="S30" i="75" s="1"/>
  <c r="O29" i="75"/>
  <c r="S29" i="75" s="1"/>
  <c r="O28" i="75"/>
  <c r="S28" i="75" s="1"/>
  <c r="O27" i="75"/>
  <c r="S27" i="75" s="1"/>
  <c r="O26" i="75"/>
  <c r="S26" i="75" s="1"/>
  <c r="O25" i="75"/>
  <c r="S25" i="75" s="1"/>
  <c r="O24" i="75"/>
  <c r="S24" i="75" s="1"/>
  <c r="O23" i="75"/>
  <c r="S23" i="75" s="1"/>
  <c r="O22" i="75"/>
  <c r="S22" i="75" s="1"/>
  <c r="O21" i="75"/>
  <c r="S21" i="75" s="1"/>
  <c r="O20" i="75"/>
  <c r="S20" i="75" s="1"/>
  <c r="O19" i="75"/>
  <c r="S19" i="75" s="1"/>
  <c r="O18" i="75"/>
  <c r="S18" i="75" s="1"/>
  <c r="O17" i="75"/>
  <c r="S17" i="75" s="1"/>
  <c r="O16" i="75"/>
  <c r="S16" i="75" s="1"/>
  <c r="O15" i="75"/>
  <c r="S15" i="75" s="1"/>
  <c r="O14" i="75"/>
  <c r="S14" i="75" s="1"/>
  <c r="O13" i="75"/>
  <c r="R125" i="75" l="1"/>
  <c r="R126" i="75" s="1"/>
  <c r="P123" i="75"/>
  <c r="O120" i="75"/>
  <c r="S13" i="75"/>
  <c r="S120" i="75" s="1"/>
  <c r="P45" i="36"/>
  <c r="P44" i="36"/>
  <c r="P43" i="36"/>
  <c r="O42" i="36"/>
  <c r="O38" i="36" s="1"/>
  <c r="O36" i="36" s="1"/>
  <c r="Q10" i="3" s="1"/>
  <c r="R10" i="3" s="1"/>
  <c r="N42" i="36"/>
  <c r="N38" i="36" s="1"/>
  <c r="M42" i="36"/>
  <c r="M38" i="36" s="1"/>
  <c r="P40" i="36"/>
  <c r="P34" i="36"/>
  <c r="P31" i="36"/>
  <c r="P30" i="36"/>
  <c r="P29" i="36"/>
  <c r="O28" i="36"/>
  <c r="O24" i="36" s="1"/>
  <c r="Q8" i="3" s="1"/>
  <c r="N28" i="36"/>
  <c r="N24" i="36" s="1"/>
  <c r="P8" i="3" s="1"/>
  <c r="M28" i="36"/>
  <c r="M24" i="36" s="1"/>
  <c r="O8" i="3" s="1"/>
  <c r="P18" i="36"/>
  <c r="O7" i="36"/>
  <c r="Q6" i="3" s="1"/>
  <c r="N15" i="36"/>
  <c r="N7" i="36" s="1"/>
  <c r="P6" i="3" s="1"/>
  <c r="M15" i="36"/>
  <c r="M7" i="36" s="1"/>
  <c r="R19" i="3"/>
  <c r="S18" i="3"/>
  <c r="R17" i="3"/>
  <c r="S17" i="3" s="1"/>
  <c r="R16" i="3"/>
  <c r="S16" i="3" s="1"/>
  <c r="S15" i="3"/>
  <c r="P13" i="3"/>
  <c r="O13" i="3"/>
  <c r="P42" i="36" l="1"/>
  <c r="P38" i="36" s="1"/>
  <c r="P36" i="36" s="1"/>
  <c r="P47" i="36"/>
  <c r="M5" i="36"/>
  <c r="M47" i="36" s="1"/>
  <c r="O6" i="3"/>
  <c r="O5" i="3" s="1"/>
  <c r="R8" i="3"/>
  <c r="R124" i="75"/>
  <c r="R123" i="75"/>
  <c r="O5" i="36"/>
  <c r="O47" i="36" s="1"/>
  <c r="N5" i="36"/>
  <c r="N47" i="36" s="1"/>
  <c r="D23" i="58"/>
  <c r="D22" i="58"/>
  <c r="D26" i="58" s="1"/>
  <c r="R6" i="3" l="1"/>
  <c r="G7" i="71" l="1"/>
  <c r="E13" i="3" l="1"/>
  <c r="F18" i="3"/>
  <c r="T14" i="3"/>
  <c r="F15" i="3"/>
  <c r="F16" i="3"/>
  <c r="F17" i="3"/>
  <c r="F19" i="3"/>
  <c r="E5" i="3"/>
  <c r="D13" i="3"/>
  <c r="C13" i="3"/>
  <c r="F5" i="3"/>
  <c r="F10" i="3"/>
  <c r="F8" i="3"/>
  <c r="F6" i="3"/>
  <c r="D5" i="3"/>
  <c r="C5" i="3"/>
  <c r="F13" i="3" l="1"/>
  <c r="D10" i="67" l="1"/>
  <c r="E10" i="67" l="1"/>
  <c r="G10" i="67" s="1"/>
  <c r="C20" i="60"/>
  <c r="C14" i="60"/>
  <c r="C9" i="60"/>
  <c r="E10" i="60"/>
  <c r="T19" i="3"/>
  <c r="T18" i="3"/>
  <c r="T15" i="3"/>
  <c r="T16" i="3"/>
  <c r="T17" i="3"/>
  <c r="K14" i="3"/>
  <c r="M18" i="3"/>
  <c r="L18" i="3"/>
  <c r="K18" i="3"/>
  <c r="N16" i="3"/>
  <c r="N17" i="3"/>
  <c r="N19" i="3"/>
  <c r="N15" i="3"/>
  <c r="M14" i="3"/>
  <c r="M13" i="3" s="1"/>
  <c r="L14" i="3"/>
  <c r="S19" i="3"/>
  <c r="J16" i="36"/>
  <c r="L13" i="3" l="1"/>
  <c r="N18" i="3"/>
  <c r="K13" i="3"/>
  <c r="N14" i="3"/>
  <c r="L40" i="36"/>
  <c r="I28" i="36"/>
  <c r="I24" i="36" s="1"/>
  <c r="K8" i="3" s="1"/>
  <c r="D32" i="36"/>
  <c r="R32" i="36" s="1"/>
  <c r="D30" i="36"/>
  <c r="D29" i="36"/>
  <c r="R33" i="36"/>
  <c r="L45" i="36"/>
  <c r="L44" i="36"/>
  <c r="L43" i="36"/>
  <c r="L42" i="36" s="1"/>
  <c r="L38" i="36" s="1"/>
  <c r="L36" i="36" s="1"/>
  <c r="L34" i="36"/>
  <c r="L31" i="36"/>
  <c r="L30" i="36"/>
  <c r="L29" i="36"/>
  <c r="L20" i="36"/>
  <c r="L19" i="36"/>
  <c r="L18" i="36"/>
  <c r="L17" i="36"/>
  <c r="L16" i="36"/>
  <c r="L11" i="36"/>
  <c r="K42" i="36"/>
  <c r="K38" i="36" s="1"/>
  <c r="J42" i="36"/>
  <c r="J38" i="36" s="1"/>
  <c r="L10" i="3" s="1"/>
  <c r="I42" i="36"/>
  <c r="I38" i="36"/>
  <c r="K10" i="3" s="1"/>
  <c r="K28" i="36"/>
  <c r="K24" i="36" s="1"/>
  <c r="K5" i="36" s="1"/>
  <c r="J28" i="36"/>
  <c r="J24" i="36" s="1"/>
  <c r="J15" i="36"/>
  <c r="J7" i="36" s="1"/>
  <c r="I15" i="36"/>
  <c r="I7" i="36" s="1"/>
  <c r="N10" i="3" l="1"/>
  <c r="K36" i="36"/>
  <c r="M10" i="3"/>
  <c r="L15" i="36"/>
  <c r="K6" i="3"/>
  <c r="K5" i="3" s="1"/>
  <c r="L6" i="3"/>
  <c r="L8" i="3"/>
  <c r="M6" i="3"/>
  <c r="M8" i="3"/>
  <c r="N13" i="3"/>
  <c r="L28" i="36"/>
  <c r="K47" i="36"/>
  <c r="I5" i="36"/>
  <c r="I47" i="36" s="1"/>
  <c r="J5" i="36"/>
  <c r="J47" i="36" s="1"/>
  <c r="N6" i="3" l="1"/>
  <c r="L5" i="3"/>
  <c r="E6" i="67"/>
  <c r="N8" i="3"/>
  <c r="M5" i="3"/>
  <c r="E8" i="67"/>
  <c r="L7" i="36"/>
  <c r="L24" i="36"/>
  <c r="L5" i="36" l="1"/>
  <c r="E5" i="67"/>
  <c r="N5" i="3"/>
  <c r="L47" i="36" l="1"/>
  <c r="D11" i="58" l="1"/>
  <c r="E9" i="60" l="1"/>
  <c r="J15" i="3"/>
  <c r="J16" i="3"/>
  <c r="J17" i="3"/>
  <c r="J18" i="3"/>
  <c r="J19" i="3"/>
  <c r="J14" i="3"/>
  <c r="G17" i="36" l="1"/>
  <c r="F16" i="36"/>
  <c r="E16" i="36"/>
  <c r="H11" i="36" l="1"/>
  <c r="Q11" i="36" s="1"/>
  <c r="R11" i="36" s="1"/>
  <c r="H17" i="36"/>
  <c r="Q17" i="36" s="1"/>
  <c r="R17" i="36" s="1"/>
  <c r="H18" i="36"/>
  <c r="Q18" i="36" s="1"/>
  <c r="R18" i="36" s="1"/>
  <c r="H19" i="36"/>
  <c r="H20" i="36"/>
  <c r="H29" i="36"/>
  <c r="Q29" i="36" s="1"/>
  <c r="H30" i="36"/>
  <c r="Q30" i="36" s="1"/>
  <c r="H31" i="36"/>
  <c r="Q31" i="36" s="1"/>
  <c r="H34" i="36"/>
  <c r="Q34" i="36" s="1"/>
  <c r="H40" i="36"/>
  <c r="H43" i="36"/>
  <c r="H44" i="36"/>
  <c r="Q44" i="36" s="1"/>
  <c r="H45" i="36"/>
  <c r="F42" i="36"/>
  <c r="F38" i="36" s="1"/>
  <c r="H10" i="3" s="1"/>
  <c r="G42" i="36"/>
  <c r="G38" i="36" s="1"/>
  <c r="E42" i="36"/>
  <c r="E38" i="36" s="1"/>
  <c r="G10" i="3" s="1"/>
  <c r="F28" i="36"/>
  <c r="F24" i="36" s="1"/>
  <c r="G28" i="36"/>
  <c r="G24" i="36" s="1"/>
  <c r="E28" i="36"/>
  <c r="E24" i="36" s="1"/>
  <c r="G15" i="36"/>
  <c r="G7" i="36" s="1"/>
  <c r="E15" i="36"/>
  <c r="E7" i="36" s="1"/>
  <c r="F15" i="36"/>
  <c r="F7" i="36" s="1"/>
  <c r="S30" i="36" l="1"/>
  <c r="R30" i="36"/>
  <c r="S29" i="36"/>
  <c r="R29" i="36"/>
  <c r="R45" i="36"/>
  <c r="Q45" i="36"/>
  <c r="R20" i="36"/>
  <c r="Q20" i="36"/>
  <c r="Q19" i="36"/>
  <c r="R19" i="36" s="1"/>
  <c r="R43" i="36"/>
  <c r="Q43" i="36"/>
  <c r="S31" i="36"/>
  <c r="R31" i="36"/>
  <c r="R40" i="36"/>
  <c r="Q40" i="36"/>
  <c r="S40" i="36" s="1"/>
  <c r="S34" i="36"/>
  <c r="R34" i="36"/>
  <c r="G6" i="3"/>
  <c r="G8" i="3"/>
  <c r="I8" i="3"/>
  <c r="H6" i="3"/>
  <c r="H8" i="3"/>
  <c r="H42" i="36"/>
  <c r="Q42" i="36" s="1"/>
  <c r="R44" i="36"/>
  <c r="I10" i="3"/>
  <c r="G36" i="36"/>
  <c r="G5" i="36"/>
  <c r="I6" i="3"/>
  <c r="F5" i="36"/>
  <c r="F47" i="36" s="1"/>
  <c r="E5" i="36"/>
  <c r="E47" i="36" s="1"/>
  <c r="H28" i="36"/>
  <c r="H16" i="36"/>
  <c r="J10" i="3"/>
  <c r="S10" i="3" s="1"/>
  <c r="H38" i="36" l="1"/>
  <c r="R16" i="36"/>
  <c r="Q28" i="36"/>
  <c r="H24" i="36"/>
  <c r="Q24" i="36" s="1"/>
  <c r="I5" i="3"/>
  <c r="J8" i="3"/>
  <c r="H5" i="3"/>
  <c r="D6" i="67"/>
  <c r="G6" i="67" s="1"/>
  <c r="D8" i="67"/>
  <c r="G8" i="67" s="1"/>
  <c r="G47" i="36"/>
  <c r="J6" i="3"/>
  <c r="S6" i="3" s="1"/>
  <c r="H15" i="36"/>
  <c r="Q15" i="36" s="1"/>
  <c r="H36" i="36" l="1"/>
  <c r="Q36" i="36" s="1"/>
  <c r="Q38" i="36"/>
  <c r="H7" i="36"/>
  <c r="Q7" i="36" s="1"/>
  <c r="D5" i="67"/>
  <c r="G5" i="67" s="1"/>
  <c r="J5" i="3"/>
  <c r="H5" i="36" l="1"/>
  <c r="F20" i="60"/>
  <c r="E20" i="60"/>
  <c r="F19" i="60"/>
  <c r="E19" i="60"/>
  <c r="F18" i="60"/>
  <c r="E18" i="60"/>
  <c r="F17" i="60"/>
  <c r="E17" i="60"/>
  <c r="D16" i="60"/>
  <c r="C16" i="60"/>
  <c r="E14" i="60"/>
  <c r="F13" i="60"/>
  <c r="E13" i="60"/>
  <c r="F12" i="60"/>
  <c r="E12" i="60"/>
  <c r="F11" i="60"/>
  <c r="E11" i="60"/>
  <c r="F10" i="60"/>
  <c r="F9" i="60"/>
  <c r="D8" i="60"/>
  <c r="C8" i="60"/>
  <c r="H47" i="36" l="1"/>
  <c r="Q47" i="36" s="1"/>
  <c r="Q5" i="36"/>
  <c r="E8" i="60"/>
  <c r="D22" i="60"/>
  <c r="C22" i="60"/>
  <c r="F16" i="60"/>
  <c r="E16" i="60"/>
  <c r="F8" i="60"/>
  <c r="E22" i="60" l="1"/>
  <c r="F22" i="60"/>
  <c r="R42" i="36" l="1"/>
  <c r="I13" i="3" l="1"/>
  <c r="D28" i="36" l="1"/>
  <c r="D15" i="36"/>
  <c r="D42" i="36"/>
  <c r="R28" i="36" l="1"/>
  <c r="R24" i="36" s="1"/>
  <c r="S28" i="36"/>
  <c r="D7" i="36"/>
  <c r="R15" i="36"/>
  <c r="C6" i="67"/>
  <c r="R7" i="36"/>
  <c r="D38" i="36"/>
  <c r="C10" i="67" s="1"/>
  <c r="D24" i="36"/>
  <c r="D5" i="36" s="1"/>
  <c r="P5" i="3" l="1"/>
  <c r="S5" i="36"/>
  <c r="R5" i="36"/>
  <c r="C8" i="67"/>
  <c r="S24" i="36"/>
  <c r="D36" i="36"/>
  <c r="D47" i="36" s="1"/>
  <c r="S47" i="36" s="1"/>
  <c r="Q5" i="3" l="1"/>
  <c r="R5" i="3" s="1"/>
  <c r="S8" i="3"/>
  <c r="T8" i="3" s="1"/>
  <c r="C5" i="67"/>
  <c r="H5" i="67" s="1"/>
  <c r="H8" i="67"/>
  <c r="G13" i="3"/>
  <c r="H13" i="3"/>
  <c r="G5" i="3" l="1"/>
  <c r="S5" i="3" l="1"/>
  <c r="T20" i="3" l="1"/>
  <c r="S20" i="3"/>
  <c r="T5" i="3"/>
  <c r="T13" i="3"/>
  <c r="R38" i="36"/>
  <c r="R36" i="36" s="1"/>
  <c r="R47" i="3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Seidy Zuniga</author>
    <author>szuniga</author>
  </authors>
  <commentList>
    <comment ref="O92" authorId="0" shapeId="0" xr:uid="{2002CF98-01B1-4790-BBB6-CC1DE20296EC}">
      <text>
        <r>
          <rPr>
            <b/>
            <sz val="9"/>
            <color indexed="81"/>
            <rFont val="Tahoma"/>
            <family val="2"/>
          </rPr>
          <t>Seidy Zuniga:</t>
        </r>
        <r>
          <rPr>
            <sz val="9"/>
            <color indexed="81"/>
            <rFont val="Tahoma"/>
            <family val="2"/>
          </rPr>
          <t xml:space="preserve">
No girar 600.000 sólo 2.496.301,35 porque está duplicado el monto tanto en el PO y PE </t>
        </r>
      </text>
    </comment>
    <comment ref="W96" authorId="1" shapeId="0" xr:uid="{2BDE2387-3C10-4537-AB07-226342B112D2}">
      <text>
        <r>
          <rPr>
            <b/>
            <sz val="9"/>
            <color indexed="81"/>
            <rFont val="Tahoma"/>
            <family val="2"/>
          </rPr>
          <t>szuniga:</t>
        </r>
        <r>
          <rPr>
            <sz val="9"/>
            <color indexed="81"/>
            <rFont val="Tahoma"/>
            <family val="2"/>
          </rPr>
          <t xml:space="preserve">
Francisco: Indica que se debe cambiar a la meta SA0101 ya que DSA0101 es Planilla. 
Gabriela: Hay que cambiarlo a TICs
Se genrea el MN01-2021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Seidy Zuniga</author>
  </authors>
  <commentList>
    <comment ref="R6" authorId="0" shapeId="0" xr:uid="{EDEAA4D4-FAD2-4BA1-B916-5A9D9E7948BE}">
      <text>
        <r>
          <rPr>
            <b/>
            <sz val="9"/>
            <color indexed="81"/>
            <rFont val="Tahoma"/>
            <family val="2"/>
          </rPr>
          <t>Seidy Zuniga:</t>
        </r>
        <r>
          <rPr>
            <sz val="9"/>
            <color indexed="81"/>
            <rFont val="Tahoma"/>
            <family val="2"/>
          </rPr>
          <t xml:space="preserve">
En el reporte del sistema indica ¢18.001.557,57 la diferencia corresponde al ajuste que se hizo en agosto por ¢2.869.644,59 siendo lo correcto en junio. En este archivo Excel se hace el ajuste en el mes que corresponde.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Seidy Zuniga</author>
  </authors>
  <commentList>
    <comment ref="P15" authorId="0" shapeId="0" xr:uid="{AE9C0FC8-5183-4F76-97A6-30BAA1046FB6}">
      <text>
        <r>
          <rPr>
            <b/>
            <sz val="9"/>
            <color indexed="81"/>
            <rFont val="Tahoma"/>
            <family val="2"/>
          </rPr>
          <t>Seidy Zuniga:</t>
        </r>
        <r>
          <rPr>
            <sz val="9"/>
            <color indexed="81"/>
            <rFont val="Tahoma"/>
            <family val="2"/>
          </rPr>
          <t xml:space="preserve">
En el reporte del sistema indica ¢18.001.557,57 corresponde al ajuste que se hizo en agosto por ¢2.869.644,59 siendo lo correcto en junio. En este archivo Excel se hace el ajuste en el mes que corresponde.</t>
        </r>
      </text>
    </comment>
  </commentList>
</comments>
</file>

<file path=xl/sharedStrings.xml><?xml version="1.0" encoding="utf-8"?>
<sst xmlns="http://schemas.openxmlformats.org/spreadsheetml/2006/main" count="1605" uniqueCount="574">
  <si>
    <t>Servicios</t>
  </si>
  <si>
    <t>Total general</t>
  </si>
  <si>
    <t>Transferencias corrientes</t>
  </si>
  <si>
    <t>Remuneraciones</t>
  </si>
  <si>
    <t>Bienes duraderos</t>
  </si>
  <si>
    <t>TRANSFERENCIAS CORRIENTES</t>
  </si>
  <si>
    <t>TOTAL</t>
  </si>
  <si>
    <t>Ingresos no tributarios</t>
  </si>
  <si>
    <t>Caja Única Fondo Incentivos</t>
  </si>
  <si>
    <t>Ley 7169 Fondo Incentivos</t>
  </si>
  <si>
    <t>Recursos vigencias anteriores</t>
  </si>
  <si>
    <t>Materiales y Suministros</t>
  </si>
  <si>
    <t>BCR  Fondo Incentivos pendiente de trasladar a CU</t>
  </si>
  <si>
    <t>Cuentas especiales</t>
  </si>
  <si>
    <t>% de ejecución</t>
  </si>
  <si>
    <t>001 Transferencias corrientes Ley 5048 CONICIT</t>
  </si>
  <si>
    <t>001 Transferencias corrientes Ley 7169 Fondo de Incentivos</t>
  </si>
  <si>
    <t>001 Transferencias corrientes Ley 8262 Propyme</t>
  </si>
  <si>
    <t>900 Superavit libre Ley 5048 CONICIT</t>
  </si>
  <si>
    <t>924 Superavit específico 3% Propyme</t>
  </si>
  <si>
    <t>Saldo disponible</t>
  </si>
  <si>
    <t>Ley 9028 Fondo Control de Tabaco</t>
  </si>
  <si>
    <t>001 Transferencias corrientes 3% Propyme</t>
  </si>
  <si>
    <t>6 TRANSFERENCIAS CORRIENTES</t>
  </si>
  <si>
    <t>001 Transferencias corrientes Ley 9028 Tabaco</t>
  </si>
  <si>
    <t xml:space="preserve"> Aporte Ley 8262 Fondo PROPYME</t>
  </si>
  <si>
    <t>INGRESOS REALES</t>
  </si>
  <si>
    <t>GASTOS EJECUTADOS</t>
  </si>
  <si>
    <t>INGRESOS CORRIENTES</t>
  </si>
  <si>
    <t>1.3.0.0.00.00.0.0.000</t>
  </si>
  <si>
    <t>INGRESOS NO TRIBUTARIOS</t>
  </si>
  <si>
    <t>1.3.9.0.00.00.0.0.000</t>
  </si>
  <si>
    <t>OTROS INGRESOS NO TRIBUTARIOS</t>
  </si>
  <si>
    <t>1.4.0.0.00.00.0.0.000</t>
  </si>
  <si>
    <t xml:space="preserve">      </t>
  </si>
  <si>
    <t>1.4.1.0.00.00.0.0.000</t>
  </si>
  <si>
    <t>TRANSFERENCIAS CORRIENTES DEL SECTOR PÚBLICO</t>
  </si>
  <si>
    <t>1.4.1.1.00.00.0.0.000</t>
  </si>
  <si>
    <t>Transferencias corrientes del Gobierno Central:</t>
  </si>
  <si>
    <t xml:space="preserve"> Aporte Ley 5048 Recursos Propios</t>
  </si>
  <si>
    <t xml:space="preserve"> Aporte Ley 7169 Fondo Incentivos</t>
  </si>
  <si>
    <t xml:space="preserve"> Aporte Ley 9028 Fondo Control de Tabaco</t>
  </si>
  <si>
    <t>1.4.1.6.00.00.0.0.000</t>
  </si>
  <si>
    <t>Transferencias corrientes de Instituciones Públicas Financieras (3% Propyme según la Ley 8262)</t>
  </si>
  <si>
    <t>3.0.0.0.00.00.0.0.000</t>
  </si>
  <si>
    <t>FINANCIAMIENTO</t>
  </si>
  <si>
    <t>3.3.0.0.00.00.0.0.000</t>
  </si>
  <si>
    <t>RECURSOS DE VIGENCIAS ANTERIORES</t>
  </si>
  <si>
    <t>3.3.1.0.00.00.0.0.000</t>
  </si>
  <si>
    <t>3.3.2.0.00.00.0.0.000</t>
  </si>
  <si>
    <t xml:space="preserve">Ley 8262 (3% Propyme) </t>
  </si>
  <si>
    <t>TOTAL PRESUPUESTO INGRESOS</t>
  </si>
  <si>
    <t xml:space="preserve"> </t>
  </si>
  <si>
    <t>6.01.08 Fondos en Fideicomiso para gasto corriente</t>
  </si>
  <si>
    <t>Fideicomiso 25-02 Fondo Propyme</t>
  </si>
  <si>
    <t>6.03.99 Otras prestaciones</t>
  </si>
  <si>
    <t>6.01.03 Transferencias Corrientes a Instituciones Descentralizadas no empresariales</t>
  </si>
  <si>
    <t>Traslado de recursos provenientes del MICITT para el Fideicomiso 25-02 Fondo Propyme, Ley 8262.</t>
  </si>
  <si>
    <t>926 Superavit específicoLey 9028 Tabaco</t>
  </si>
  <si>
    <t>921 Superavit específico Ley 7169 Fondo de Incentivos</t>
  </si>
  <si>
    <t>1 SERVICIOS</t>
  </si>
  <si>
    <t>9 CUENTAS ESPECIALES</t>
  </si>
  <si>
    <t>Programa 2 Gestión Administrativa</t>
  </si>
  <si>
    <t>Partida presupuestaria y fuente de financiamiento</t>
  </si>
  <si>
    <t>Presupuesto total</t>
  </si>
  <si>
    <t xml:space="preserve">1.3.9.1.00.00.0.0.000 </t>
  </si>
  <si>
    <t>Reintegros y Devoluciones </t>
  </si>
  <si>
    <t>1.3.9.2.00.00.0.0.000</t>
  </si>
  <si>
    <t>Ejecución de contratos de seguro</t>
  </si>
  <si>
    <t xml:space="preserve">SUPERÁVIT LIBRE, LEY 5048 </t>
  </si>
  <si>
    <t>SUPERÁVIT ESPECÍFICO</t>
  </si>
  <si>
    <t xml:space="preserve">CÓDIGO </t>
  </si>
  <si>
    <t>PARTIDA Y SUBPARTIDA DE INGRESOS</t>
  </si>
  <si>
    <t xml:space="preserve">1.3.2.3.03.01.0.0.000 </t>
  </si>
  <si>
    <t>1.3.2.0.00.00.0.0.000</t>
  </si>
  <si>
    <t>INGRESOS DE LA PROPIEDAD</t>
  </si>
  <si>
    <t>Intereses sobre cuentas corrientes y otros depósitos en bancos públicos</t>
  </si>
  <si>
    <t>Programa 1 Promoción de la Ciencia, Tecnología e Innovación</t>
  </si>
  <si>
    <t>0 REMUNERACION</t>
  </si>
  <si>
    <t xml:space="preserve"> 5 BIENES DURADEROS</t>
  </si>
  <si>
    <t>2 MATERIALES Y SUMINISTROS</t>
  </si>
  <si>
    <t>Caja Única Ley 5048, Conicit INS</t>
  </si>
  <si>
    <t>DETALLE</t>
  </si>
  <si>
    <t>% EJECUCIÓN</t>
  </si>
  <si>
    <t>001 Transferencias corrientes Ley 5048 CONICIT, INS</t>
  </si>
  <si>
    <t xml:space="preserve">Monto total ejecutado </t>
  </si>
  <si>
    <t>001 TRANSFERENCIAS CORRIENTES 3% Propyme</t>
  </si>
  <si>
    <t>001 TRANSFERENCIAS CORRIENTES Ley 5048 CONICIT</t>
  </si>
  <si>
    <t>001 TRANSFERENCIAS CORRIENTES Ley 7169 Fondo de Incentivos</t>
  </si>
  <si>
    <t>001 TRANSFERENCIAS CORRIENTES Ley 8262 Propyme</t>
  </si>
  <si>
    <t>001 TRANSFERENCIAS CORRIENTES Ley 9028 Tabaco</t>
  </si>
  <si>
    <t>MONTO APROBADO</t>
  </si>
  <si>
    <t xml:space="preserve">Detalle de Transferencias </t>
  </si>
  <si>
    <t>Subpartida</t>
  </si>
  <si>
    <t>Entidad</t>
  </si>
  <si>
    <t>Monto Transferido</t>
  </si>
  <si>
    <t>Finalidad</t>
  </si>
  <si>
    <t>Desarrollo de proyectos de investigación con recursos del Fondo de Incentivos, Ley 7169.</t>
  </si>
  <si>
    <t>Pago incapacidades</t>
  </si>
  <si>
    <t>BCR ingreso que no corresponde al Fondo de Incentivos</t>
  </si>
  <si>
    <t>Fondo</t>
  </si>
  <si>
    <t>Monto ejecutado</t>
  </si>
  <si>
    <t xml:space="preserve">Compromisos </t>
  </si>
  <si>
    <t xml:space="preserve">Reservas </t>
  </si>
  <si>
    <t>FUENTE DE FINANCIAMIENTO</t>
  </si>
  <si>
    <t>INGRESOS RECIBIDOS</t>
  </si>
  <si>
    <t>ENERO</t>
  </si>
  <si>
    <t>FEBRERO</t>
  </si>
  <si>
    <t>MARZO</t>
  </si>
  <si>
    <t>INGRESO TOTAL RECIBIDO I TRIMESTRE</t>
  </si>
  <si>
    <t>TOTAL I TRIMESTRE</t>
  </si>
  <si>
    <t>% DE EJECUCIÓN</t>
  </si>
  <si>
    <t>PRESUPUESTO TOTAL</t>
  </si>
  <si>
    <t xml:space="preserve">Universidad de Costa Rica </t>
  </si>
  <si>
    <t>Instituto Tecnológico de Costa Rica</t>
  </si>
  <si>
    <t>Funcionarios</t>
  </si>
  <si>
    <t>6.01.02 Transferencias Corrientes A Órganos Desconcentrados</t>
  </si>
  <si>
    <t>Comisión Nacional de Prevención de Riesgos y Atención de Emergencias (CNE)</t>
  </si>
  <si>
    <t>Tributo en cumplimiento al Artículo 46 de la Ley 8488 correspondiente al pago del 3% del superávit libre.</t>
  </si>
  <si>
    <t xml:space="preserve"> I Trimestre, 2021</t>
  </si>
  <si>
    <t>CONCILIACIÓN MOVIMIENTOS DE CAJA VS PRESUPUESTO</t>
  </si>
  <si>
    <t>Banco</t>
  </si>
  <si>
    <t>Cuenta bancaria</t>
  </si>
  <si>
    <t xml:space="preserve">Saldo colones </t>
  </si>
  <si>
    <t>BCR  Ley 7169</t>
  </si>
  <si>
    <t>001-0457693-4</t>
  </si>
  <si>
    <t>Caja Única Ley 5048</t>
  </si>
  <si>
    <t xml:space="preserve">  73900011305001015</t>
  </si>
  <si>
    <t>Caja Única  Ley 7169</t>
  </si>
  <si>
    <t xml:space="preserve">  73911121800043955</t>
  </si>
  <si>
    <t>Caja Única  Ley 9028</t>
  </si>
  <si>
    <t>73911121800046853</t>
  </si>
  <si>
    <t>Caja Única Ley 8262</t>
  </si>
  <si>
    <t>73911121800048272</t>
  </si>
  <si>
    <t>Total cuentas bancarias</t>
  </si>
  <si>
    <t>PRESUPUESTO</t>
  </si>
  <si>
    <t>Saldo colones</t>
  </si>
  <si>
    <t>Ingresos reales</t>
  </si>
  <si>
    <t>Egresos reales</t>
  </si>
  <si>
    <t>Diferencia del período</t>
  </si>
  <si>
    <t>Diferencia Bancos - Presupuesto</t>
  </si>
  <si>
    <t>Menos:</t>
  </si>
  <si>
    <t>Total Renta y devoluciones CCSS</t>
  </si>
  <si>
    <t>Diferencia real</t>
  </si>
  <si>
    <t>Diferencia en la liquidación 2019</t>
  </si>
  <si>
    <t>Total entre el real menos liquidación 2019</t>
  </si>
  <si>
    <t>Diferencia final</t>
  </si>
  <si>
    <t>ABRIL</t>
  </si>
  <si>
    <t>JUNIO</t>
  </si>
  <si>
    <t>MAYO</t>
  </si>
  <si>
    <t>INGRESO TOTAL RECIBIDO II TRIMESTRE</t>
  </si>
  <si>
    <t xml:space="preserve"> TOTAL DE INGRESOS RECIBIDOS</t>
  </si>
  <si>
    <t xml:space="preserve">Nota: El porcentaje de ejecuión de Ingresos No Tributarios y de Ingresos por Financiamiento se calculan en función del monto presupuestado ya que con el ingreso real se supera el 100%. </t>
  </si>
  <si>
    <t>TOTAL II TRIMESTRE</t>
  </si>
  <si>
    <t>TOTAL EJECUTADO ACUMULADO</t>
  </si>
  <si>
    <t>Transferencias Corrientes Fondo de Incentivos</t>
  </si>
  <si>
    <t>Superávit Fondo de Incentivos</t>
  </si>
  <si>
    <t>Transferencias Corrientes Fondo Tabaco</t>
  </si>
  <si>
    <t>Superávit Fondo Tabaco</t>
  </si>
  <si>
    <t>Total Fondo de Incentivos</t>
  </si>
  <si>
    <t>Total Fondo Tabaco</t>
  </si>
  <si>
    <t>Consejo Nacional para Investigaciones Científicas y Tecnológicas</t>
  </si>
  <si>
    <t>Formulación MAPP: Requerimientos de recursos para las actividades programadas</t>
  </si>
  <si>
    <t>Versión:</t>
  </si>
  <si>
    <t>Partida</t>
  </si>
  <si>
    <t>Grupo</t>
  </si>
  <si>
    <t>Escenario 5: Monto ajustado aprobado por la CGR</t>
  </si>
  <si>
    <t>Modificación 01-2021</t>
  </si>
  <si>
    <t>MN01-2021</t>
  </si>
  <si>
    <t>MN02-2022</t>
  </si>
  <si>
    <t>Modificación 02-2021</t>
  </si>
  <si>
    <t>Modificación 03-2021</t>
  </si>
  <si>
    <t>PE-01-2021</t>
  </si>
  <si>
    <t>MN03-20221</t>
  </si>
  <si>
    <t>Resevas</t>
  </si>
  <si>
    <t>Ejecutado</t>
  </si>
  <si>
    <t>Programa presupuestario</t>
  </si>
  <si>
    <t>Centro costos</t>
  </si>
  <si>
    <t>Código Meta Sistema Administrativo</t>
  </si>
  <si>
    <t>Nombre Meta Sistema Administrativo</t>
  </si>
  <si>
    <t>Justificación detallada de la solicitud de presupuesto, en la medida de lo posible indique los parámetros utilizados para la estimación.2</t>
  </si>
  <si>
    <t>Observaciones escenarios</t>
  </si>
  <si>
    <t>_0_REMUNERACION</t>
  </si>
  <si>
    <t>0.01 REMUNERACIONES BÁSICAS</t>
  </si>
  <si>
    <t>0.01.01 Sueldos para cargos fijos</t>
  </si>
  <si>
    <t>1 Promoción de la Ciencia, Tecnología e Innovación</t>
  </si>
  <si>
    <t>01-02 Dirección de Promoción de Ciencia, Tecnología e Innovación</t>
  </si>
  <si>
    <t>DP0101</t>
  </si>
  <si>
    <t>Ejecutar 90% PRESU-planilla TC-5048 DP</t>
  </si>
  <si>
    <t>Ejecutar 90% de la planilla de la Dirección de Promoción</t>
  </si>
  <si>
    <t>Corresponde a salarios para el año 2021. No se considera costo de vida para el año 2021.  Se considera costo de vida del 2020, según lo indicado en oficio DGPN-0233-2020.  Programa 1</t>
  </si>
  <si>
    <t>2 Gestión Administrativa</t>
  </si>
  <si>
    <t>02-06 Dirección de Soporte Administrativo</t>
  </si>
  <si>
    <t>DSA0101</t>
  </si>
  <si>
    <t>Ejecutar 90% PRESU-planilla TC-5048 DSA</t>
  </si>
  <si>
    <t>SA0101</t>
  </si>
  <si>
    <t>Ejecutar 90% de la planilla de Gestion Administrativa</t>
  </si>
  <si>
    <t>Corresponde a salarios para el año 2021. No se considera costo de vida para el año 2021.  Se considera costo de vida del 2020, según lo indicado en oficio DGPN-0233-2020. Programa 2</t>
  </si>
  <si>
    <t>0.02.01 Tiempo extraordinario</t>
  </si>
  <si>
    <t>Tiempo extraordinario: cuentas del BNCR, NICSP y reclamos administrativos</t>
  </si>
  <si>
    <t>0.01.05 Suplencias</t>
  </si>
  <si>
    <t>Para contratación de personal sustituto para suplir a colaboradores en el eventual caso de que se presenten incapacidades por COVID-19, incapacidad por enfermedad, licencias, vacaciones prolongadas y otros.</t>
  </si>
  <si>
    <t>0.02 REMUNERACIONES EVENTUALES</t>
  </si>
  <si>
    <t>0.02.05 Dietas</t>
  </si>
  <si>
    <t>02-02 Secretaría Ejecutiva</t>
  </si>
  <si>
    <t>SE0101</t>
  </si>
  <si>
    <t>Ejecutar 90% PRESU TC 5048 SE</t>
  </si>
  <si>
    <t>Ejecutar el 90% del Plan de Trabajo de la Secretaría Ejecutiva.</t>
  </si>
  <si>
    <t>Pago de dieta a los señores miembros del Consejo Directo, se contemplo ese monto asumiendo que normalmente se realizan 44 sesiones al año</t>
  </si>
  <si>
    <t>En E2 tomando como base el reporte de presupuesto al 26/06 se ha consumido en los primeros 5 meses del año ¢2.984.488,60 redondeado a 3 Mill entre 5 meses equivale a ¢600.000 por mes por 12 meses= ¢7.200.000</t>
  </si>
  <si>
    <t>0.03 INCENTIVOS SALARIALES</t>
  </si>
  <si>
    <t>0.03.01 Retribución por años servidos</t>
  </si>
  <si>
    <t>Corresponde al pago de anualidades pr años servidos. Programa 1</t>
  </si>
  <si>
    <t>Corresponde al pago de anualidades pr años servidos. Programa 2</t>
  </si>
  <si>
    <t>0.03.02 Restricción al ejercicio liberal de la profesión</t>
  </si>
  <si>
    <t>Corresponde al pago de Dedicación Exclusiva o Prohibición. Es un porcentaje del salario base.  Programa 1</t>
  </si>
  <si>
    <t>Corresponde al pago de Dedicación Exclusiva o Prohibición. Es un porcentaje del salario base.  Programa 2</t>
  </si>
  <si>
    <t>0.03.03 Decimotercer mes</t>
  </si>
  <si>
    <t>Corresponde al pago de aguinaldo anual.  Corresponde al 8,33333 del salario devengado. Porgrama 1</t>
  </si>
  <si>
    <t>Corresponde al pago de aguinaldo anual.  Corresponde al 8,33333 del salario devengado. Porgrama 2</t>
  </si>
  <si>
    <t>0.03.04 Salario escolar</t>
  </si>
  <si>
    <t>Corresponde al pago del salario escolar.  Corresponde al 8.33% del salario devengado.  Programa 1</t>
  </si>
  <si>
    <t>Corresponde al pago del salario escolar.  Corresponde al 8.33% del salario devengado.  Programa 2</t>
  </si>
  <si>
    <t>0.03.99 Otros incentivos salariales</t>
  </si>
  <si>
    <t>Corresonde al pago de Carrera Profesional.  El valor del punto es de ¢2.273,00.  Porgrama 1</t>
  </si>
  <si>
    <t>Corresonde al pago de Carrera Profesional.  El valor del punto es de ¢2.273,00.  Porgrama 2</t>
  </si>
  <si>
    <t>0.04 CONTRIBUCIONES PATRONALES AL DESARROLLO Y LA
SEGURIDAD SOCIAL</t>
  </si>
  <si>
    <t>0.04.01 Contribución Patronal al Seguro de Salud de la Caja</t>
  </si>
  <si>
    <t>Corresponde al 9.25% de los salarios devengados.  Programa 1</t>
  </si>
  <si>
    <t>Corresponde al 9.25% de los salarios devengados.  Programa 2</t>
  </si>
  <si>
    <t>0.04.03 Contribución Patronal al Instituto Nacional de Aprendizaje</t>
  </si>
  <si>
    <t>Corresponde al 1,50% de los salarios devengados.  Programa 1</t>
  </si>
  <si>
    <t>Corresponde al 1,50% de los salarios devengados.  Programa 2</t>
  </si>
  <si>
    <t>0.04.04 Contribución Patronal al Fondo de Desarrollo Social y</t>
  </si>
  <si>
    <t>Corresponde al 5,0% de los salarios devengados.  Programa 1</t>
  </si>
  <si>
    <t>Corresponde al 5,0% de los salarios devengados.  Programa 2</t>
  </si>
  <si>
    <t>0.04.05 Contribución Patronal al Banco Popular y de Desarrollo</t>
  </si>
  <si>
    <t>Corresponde al 0,25% de los salarios devengados.  Programa 1</t>
  </si>
  <si>
    <t>Corresponde al 0,25% de los salarios devengados.  Programa 2</t>
  </si>
  <si>
    <t>0.05 CONTRIBUCIONES PATRONALES A FONDOS DE PENSIONES Y
OTROS FONDOS DE CAPITALIZACIÓN</t>
  </si>
  <si>
    <t>0.05.01 Contribución Patronal al Seguro de Pensiones de la Caja</t>
  </si>
  <si>
    <t>Corresponde al 5.25% de los salarios devengados. Programa 1</t>
  </si>
  <si>
    <t>Corresponde al 5.25% de los salarios devengados. Programa 2</t>
  </si>
  <si>
    <t>0.05.02 Aporte Patronal al Régimen Obligatorio de Pensiones</t>
  </si>
  <si>
    <t>Corresponde al 0,50% de los salarios devengados. Programa 1</t>
  </si>
  <si>
    <t>Corresponde al 0,50% de los salarios devengados. Programa 2</t>
  </si>
  <si>
    <t>0.05.03 Aporte Patronal al Fondo de Capitalización Laboral</t>
  </si>
  <si>
    <t>Corresponde al 1,0% de los salarios devengados. Programa 1</t>
  </si>
  <si>
    <t>Corresponde al 1,0% de los salarios devengados. Programa 2</t>
  </si>
  <si>
    <t>0.05.05 Contribución Patronal a fondos administrados por entes</t>
  </si>
  <si>
    <t>Corresponde al 5.33% del Aporte Patronal a la Asociación Solidarista. Programa 1</t>
  </si>
  <si>
    <t>Corresponde al 5.33% del Aporte Patronal a la Asociación Solidarista. Programa 2</t>
  </si>
  <si>
    <t>_1_SERVICIOS</t>
  </si>
  <si>
    <t>1.01 ALQUILERES</t>
  </si>
  <si>
    <t>1.01.99 Otros alquileres</t>
  </si>
  <si>
    <t>02-10- Unidad de Tecnologías de Información y Comunicación</t>
  </si>
  <si>
    <t>TC0101</t>
  </si>
  <si>
    <t>Ejecutar 90% PRESU TC 5048 TIC</t>
  </si>
  <si>
    <t>Ejecutar el 90% del Plan de Trabajo de la Unidad de TIC</t>
  </si>
  <si>
    <t>Para pago del contrato de medios magnéticos que se tiene con el Banco Nacional para el resguardo de discos externos de respaldo.
Para almacenamiento 1 TB de informacion de trabajo de los usuarios y carpetas compartidas de cada una de las áreas de trabajo, así como de las Bases de datos que se utilizan en los sistemas como apoyo al teletrabajo</t>
  </si>
  <si>
    <t>1.02 SERVICIOS BÁSICOS</t>
  </si>
  <si>
    <t>1.02.01 Servicio de agua y alcantarillado</t>
  </si>
  <si>
    <t>02-09 Unidad Recursos Materiales y Servicios</t>
  </si>
  <si>
    <t>RM0101</t>
  </si>
  <si>
    <t>Ejecutar 90% PRESU TC 5048 RMS</t>
  </si>
  <si>
    <t>Ejecutar el 90% del Plan de Trabajo de la Unidad de Recursos Materiales y Servicios</t>
  </si>
  <si>
    <t>Pago  del servicio de agua y alcantarillado, el costo se estima de acuerdo al promedio de lo cancelado en el año 2019-2020</t>
  </si>
  <si>
    <t>1.02.02 Servicio de energía eléctrica</t>
  </si>
  <si>
    <t>Pago del servicio de energía eléctrica el costo se estima de acuerdo al promedio de lo cancelado en el año 2019-2020</t>
  </si>
  <si>
    <t>1.02.03 Servicio de correo</t>
  </si>
  <si>
    <t>Pago del servicio anual de apartado postal 599-2200, Coronado, San José.</t>
  </si>
  <si>
    <t>1.02.04 Servicio de telecomunicaciones</t>
  </si>
  <si>
    <t>Pago del servicio de telecomunicaciones (central telefónica, 2 líneas fijas, 2 datacard, 2 líneas celular e internet simétrico)</t>
  </si>
  <si>
    <t>Pago internet simétrico</t>
  </si>
  <si>
    <t>1.02.99 Otros servicios básicos</t>
  </si>
  <si>
    <t xml:space="preserve">Pago de impuestos municipales </t>
  </si>
  <si>
    <t>1.03 SERVICIOS COMERCIALES Y FINANCIEROS</t>
  </si>
  <si>
    <t>1.03.01 Información</t>
  </si>
  <si>
    <t>Para publicación en el Diario Oficial La Gaceta de Reglamentos, Leyes y otros documentos que por normativa deben de publicarse para conocimiento de terceros tal como el proyecto de Ley N°21660 así como otras publicaciones que surjan</t>
  </si>
  <si>
    <t>02-07 Unidad de Finanzas</t>
  </si>
  <si>
    <t>FI0103</t>
  </si>
  <si>
    <t>Ejecutar 90% PRESU TC 5048 FI</t>
  </si>
  <si>
    <t>FI0101</t>
  </si>
  <si>
    <t>Ejecutar el 90% del Plan de Trabajo de la Unidad de Finanzas</t>
  </si>
  <si>
    <t>Para publicación en el Diario Oficial La Gaceta de Reglamentos, Leyes y otros documentos que por normativa deben de publicarse para conocimiento de terceros tal como el Reglamento de Caja Chica así como otras publicaciones que surjan</t>
  </si>
  <si>
    <t>1.03.03 Impresión, encuadernación y otros</t>
  </si>
  <si>
    <r>
      <t xml:space="preserve">Empastes de libros legales (Inventario y balances, Libro mayor y libro de diario), 16 empastes comprobantes de diario año </t>
    </r>
    <r>
      <rPr>
        <sz val="10"/>
        <color rgb="FFFF0000"/>
        <rFont val="Franklin Gothic Book"/>
        <family val="2"/>
      </rPr>
      <t xml:space="preserve">2012-2019. </t>
    </r>
    <r>
      <rPr>
        <sz val="10"/>
        <rFont val="Franklin Gothic Book"/>
        <family val="2"/>
      </rPr>
      <t xml:space="preserve">La base de cálculo: El costo se establece mediante una cotización de octubre del año 2018, por un costo unitario de ¢6.500 cada empaste, se le aplica un aumento del 5% de inflación anualizada. Los empastes son importantes realizarlos para cumplir con la normas de control interno "Normas sobre sistemas de información", en las variables 5.4 "Gestión Documental", 5.5. "Archivo Institucional".  </t>
    </r>
  </si>
  <si>
    <t>En E2 disminuye ya que para el 2020 hay una contratación en trámite</t>
  </si>
  <si>
    <t>Las actas y anexos de actas del Consejo Director deben estar empastadas, de acuerdo a la normativa vigente.</t>
  </si>
  <si>
    <t>1.03.06 Comisiones y gastos por servicios financieros y comerciales</t>
  </si>
  <si>
    <t>Pago por la utilización del SICOP</t>
  </si>
  <si>
    <t>01-05 Unidad de Vinculación y Asesoría</t>
  </si>
  <si>
    <t>VA0101</t>
  </si>
  <si>
    <t>Ejecutar 90% PRESU TC 5048 VA</t>
  </si>
  <si>
    <t>Ejecutar el 90% del Plan de Trabajo de la Unidad de Vinculación y Asesoría</t>
  </si>
  <si>
    <t>Comisión transferencia bancaria pago Interciencia</t>
  </si>
  <si>
    <t>1.03.07 Servicios de transferencia electrónica de información</t>
  </si>
  <si>
    <t>Para renovación de 19 certificados digitales para el 2021, según inventario de certificados digitales registrados al 2019</t>
  </si>
  <si>
    <t>1.04 SERVICIOS DE GESTIÓN Y APOYO</t>
  </si>
  <si>
    <t>1.04.01 Servicios médicos y de laboratorio</t>
  </si>
  <si>
    <t>DH0101</t>
  </si>
  <si>
    <t>Ejecutar 90% PRESU TC 5048 GDH</t>
  </si>
  <si>
    <t>Médico de Empresa</t>
  </si>
  <si>
    <t>1.04.03 Servicios de ingeniería</t>
  </si>
  <si>
    <t>Contratación de peritaje para 3 vehiculo de la institución en cumplimiento con la NICSP 17.</t>
  </si>
  <si>
    <t>1.04.04 Servicios en ciencias económicas y sociales</t>
  </si>
  <si>
    <t>Contratación de una Auditoría Externa de los EEFF del período 2018 al 2020, en cumplimiento con lo indicado en en la Directriz N°DCN-0001-2020 del 14/01/2020 emitido por la CN.</t>
  </si>
  <si>
    <t>Contratación de Sevicio de Consultoría para realizar estudio de cargas de trabajo solicitado por la Licda. Gabriela Díaz, DSA, en demanda judicial expediente N° TE: 20-000590-1550-LA-7, proceso: OR.S.PUB. Empleo Público.</t>
  </si>
  <si>
    <t>1.04.06 Servicios generales</t>
  </si>
  <si>
    <t xml:space="preserve">Pago por los servicios de seguridad y vigilancia, el costo se basa al de acuerdo al monto mensual contratado, mas un estimado del reajuste  de precios mensual.
Pago por el servicio de limpieza, el costo se basa al de acuerdo al monto mensual contratado, mas un estimado del reajuste de precios mensual.
Reajustes de precios presentados en el 2020 por la empresa SEVIN y DEQUISA y los que se presenten en el 2021.
</t>
  </si>
  <si>
    <t>02-08 Unidad Gestión del Desarrollo Humano</t>
  </si>
  <si>
    <t>Ejecutar 90% del Plan de Trabajo de Gestión del Desarrollo Humano</t>
  </si>
  <si>
    <t>Es de suma importancia que los extintores tengan las etiquetas actualizadas, se haya realizado las pruebas hidrostáticas, con el fin de que al presentarse una emergencia, no se de ningún inconveniente en el uso de los mismos. También el Minsiterio de Salud, puede realizar una visita y ver que nos encontremos al día con esto., sino puede ser una falta. 
Para una eventual sanitización del edificio en caso de un caso positivo de COVID 19.</t>
  </si>
  <si>
    <t>1.04.99 Otros servicios de gestión y apoyo</t>
  </si>
  <si>
    <t xml:space="preserve">Pago de la Revisón Técnica Vehicular ( 5 vehículos), el costo actual para RTV es de ¢15.927,25, por lo que se estima un aumento para el proximo año </t>
  </si>
  <si>
    <t>1.06 SEGUROS, REASEGUROS Y OTRAS OBLIGACIONES</t>
  </si>
  <si>
    <t>1.06.01 Seguros</t>
  </si>
  <si>
    <t xml:space="preserve">Pago de la Póliza de Incendios del Edificio y planta eléctrica.
Pago de la Póliza de 5 Vehículos institucionales </t>
  </si>
  <si>
    <t>Renovación de la Póliza 0101EQE001003208 de equipo electrónico 2020</t>
  </si>
  <si>
    <t>1.08 MANTENIMIENTO Y REPARACIÓN</t>
  </si>
  <si>
    <t>1.08.01 Mantenimiento de edificios, locales y terrenos</t>
  </si>
  <si>
    <t xml:space="preserve">Pintura de paredes externas del edificio aproximadamente 3570 mts 2 por un monto de ¢20.000.000, mantenimiento de la alarma contra incendios por un monto de ¢1.000.000,  limpieza de  dos cajas de registro de aguas grises y aguas negras por un monto de ¢60.000 y imprevistos que surgan en el proximo año por un monto de ¢1.000.000,00. 
Reparación del techo del parqueo </t>
  </si>
  <si>
    <t>1.08.05 Mantenimiento y reparación de equipo de transporte</t>
  </si>
  <si>
    <t>Reparación de equipo de transporte, unidades 238-25 y 238-26</t>
  </si>
  <si>
    <t>1.08.06 Mantenimiento y reparación de equipo de comunicación</t>
  </si>
  <si>
    <t>Para cubirir los contratos de mantenimiento para la central telefónica (12 visitas anuales) y el las cámaras de vigilancia (CCTV) (cuatro visitas anuales)</t>
  </si>
  <si>
    <t>1.08.07 Mantenimiento y reparación de equipo y mobiliario de oficina</t>
  </si>
  <si>
    <r>
      <t xml:space="preserve">Para cubrir el contrato de mantenimiento de los aires acondicionados del cuarto de servidores (Una visita anual), según contrato para la tercer renovación </t>
    </r>
    <r>
      <rPr>
        <sz val="10"/>
        <color rgb="FFFF0000"/>
        <rFont val="Franklin Gothic Book"/>
        <family val="2"/>
      </rPr>
      <t>Ver mantenimiento correctivo</t>
    </r>
  </si>
  <si>
    <t>1.08.08 Mantenimiento y reparación de equipo de cómputo y sistemas</t>
  </si>
  <si>
    <t>Cubrir contrato de mantenimiento de la UPS del cuarto de servidores una visita anual (170,000  + IVA).
Contrato de mantenimiento  anual de  Wizdom ($50*17*12*670+ IVA) y su actualización ¢4,300,000 + IVA.
Mantenimiento preventivo para 15 computadoras de escritorio (25,000 C/U), 45 computadoras portátiles (20,000 C/U) , 3 impresoras de inyección (15,000 C/U), 1 escáner (20,000 C/U), 6 servidores (110,000 C/U), Mantenimiento correctivo para 4 impresoras multifuncionales (375,000 C/U) mas el IVA</t>
  </si>
  <si>
    <t>1.09 IMPUESTOS</t>
  </si>
  <si>
    <t>1.99.02 Intereses moratorios y multas</t>
  </si>
  <si>
    <t xml:space="preserve">Intereses moratorios CCSS factura adicional </t>
  </si>
  <si>
    <t>1.09.99 Otros impuestos</t>
  </si>
  <si>
    <t>Pago del derecho de circulación de 5 vehículos</t>
  </si>
  <si>
    <t>02-05 Asesoría Legal</t>
  </si>
  <si>
    <t>AL0301</t>
  </si>
  <si>
    <t>Ejecutar 90% PRESU TC 5048 AL</t>
  </si>
  <si>
    <t>AL0101</t>
  </si>
  <si>
    <t>Ejecutar el 90% del Plan de Trabajo de la Asesoría Legal.</t>
  </si>
  <si>
    <t>Este monto es destinado a la compra de timbres ficales, legales y de abogado para la presentación de escritos judiciales y administrativos, así como para obtención de copias de expedientes judicales y administrativos de indole legal.</t>
  </si>
  <si>
    <t>_2_MATERIALES_Y_SUMINISTROS</t>
  </si>
  <si>
    <t>2 .01 PRODUCTOS QUÍMICOS Y CONEXOS</t>
  </si>
  <si>
    <t>2.01.01 Combustibles y lubricantes</t>
  </si>
  <si>
    <t>Pago de tarjeta de gastos de combustible de los vehículos para asuntos  de servicios que brinda la unidad y planta eléctrica del CONICIT</t>
  </si>
  <si>
    <t>2.01.04 Tintas, pinturas y diluyentes</t>
  </si>
  <si>
    <t>Compra de  Toners para impresoras multifuncionales ubicadas en los diferentes pisos del CONICIT  asi como carturchos de tintas para impresoras Canon Maxify y Canon Pixma ubicadas en TICS y oficina de actas, costo estimado de acuerdo a la ultima cotizaciones recibidas para la contratacion para la compra 2020.</t>
  </si>
  <si>
    <t>En E2 se considera el 50% de lo solicitado considerando la modalidad de teletrabajo</t>
  </si>
  <si>
    <t>2.03 MATERIALES Y PRODUCTOS DE USO EN LA CONSTRUCCIÓN Y
MANTENIMIENTO</t>
  </si>
  <si>
    <t>2.03.04 Materiales y productos eléctricos, telefónicos y de cómputo</t>
  </si>
  <si>
    <t>5  dispositivo de Firma Digital 30,000 c/u, 80 cables de red (Patch cord) cat 6 para conexión de switches y red local 3,000 c-u,  1 Kt de herramientas de instalación de red Red RJ45 (Incluya Tester de cables, ponchadora, perforadora)</t>
  </si>
  <si>
    <t>2.04 HERRAMIENTAS, REPUESTOS Y ACCESORIOS</t>
  </si>
  <si>
    <t>2.04.02 Repuestos y accesorios</t>
  </si>
  <si>
    <t>Compra de al menos 8 llantas de respuesto para los vehiculos del CONICIT. Compra 3 baterías para los vehículos placas 238-5, 238-6 y 238-7</t>
  </si>
  <si>
    <t xml:space="preserve">En E2 se considera el 50% </t>
  </si>
  <si>
    <t>2.99 ÚTILES, MATERIALES Y SUMINISTROS DIVERSOS</t>
  </si>
  <si>
    <t>2.99.01 Útiles y materiales de oficina y cómputo</t>
  </si>
  <si>
    <t xml:space="preserve">Compra de suministros de oficina </t>
  </si>
  <si>
    <t>2.99.02 Útiles y materiales médico, hospitalario y de investigación</t>
  </si>
  <si>
    <t>Para la compra de Solución Alcohólica Antiséptica para Higiene de Manos que vende la FANAL.</t>
  </si>
  <si>
    <t>2.99.03 Productos de papel, cartón e impresos</t>
  </si>
  <si>
    <t>Compra de suministros de papel papel bond oficio para el uso diario de las actividades de las oficinas del CONICIT.
Compra de cajas de cartón para el archivo de expedientes</t>
  </si>
  <si>
    <t>_5_BIENES_DURADEROS</t>
  </si>
  <si>
    <t>5.01 MAQUINARIA, EQUIPO Y MOBILIARIO</t>
  </si>
  <si>
    <t>5.01.03 Equipo de comunicación</t>
  </si>
  <si>
    <t>SE0103</t>
  </si>
  <si>
    <t>Ejecutar 90% del PRESU-3% PROPYME SE</t>
  </si>
  <si>
    <t xml:space="preserve">De acuerdo con la Ley de Promoción del Desarrollo Científico Tecnológico Ley 7169, Capítulo IV, artículo 23 y artículo 24, se requiere la compra del siguiente equipo: tres Micrófonos, grabadores digitales (mezcladora de sonidos), auriculares (audífonos), software de grabación y edición. Este equipo será utilizado para la producción de programas radiofónicos y podcast vía internet que se puedan archivar en apps como "Spotify". Lo anterior para divulgación y promoción de resultados y de proyectos de beneficarios del Fondo Propyme  que beneficien a los sectores productivos del país.
Las producciones que se realicen con este equipo permitirán a la institución actuar como un puente entre la información tecnológica generada en los centros  de investigación público o privados y el público no especializado. La simplificación del lenguaje tecnológico  y su divulgación es esencial para la educación del ciudadano, para el alcance de gobernantes y tomadores de decisiones de modo que se promuevan más acciones direccionadas a una sociedad más educada, innovadora y económica y ambientalmente sostenible. Además, en la nueva normalidad que nos envuelve a causa de la Pandemia Covid- 19 los medios virtuales que permitan llegar al ciudadano de forma eficiente no presencial se hacen cada vez más necesarios.
</t>
  </si>
  <si>
    <t>5.01.04 Equipo y mobiliario de oficina</t>
  </si>
  <si>
    <t>5.99 BIENES DURADEROS DIVERSOS</t>
  </si>
  <si>
    <t>5.99.03 Bienes intangibles</t>
  </si>
  <si>
    <t>TC0104</t>
  </si>
  <si>
    <t>Página Web</t>
  </si>
  <si>
    <t>TC0105</t>
  </si>
  <si>
    <t>TC0106</t>
  </si>
  <si>
    <t>1- Renovacion de licencia de Zextras anual ($1,100), Renovacion de licencias de antivirus y seguridad perimetral de Panda ($5,000), renovacion de 12 licencias de Adobe Acrobat ($1,900), una licencia de Adobe Illustrator ($350), 2 licencias de Adobe Photo Shop ($700), a todo este rubro se le suma el IVA.
2- Adquisicion y mantenimiento mensual de licencias de ZIMBRA Network Edition para 100 buzones, licenciamiento perpetuo (un solo pago de $1600 + IVA) y servicio mensual de soporte y mantenimiento con 3 visitas preventivas anuales ($75 x mes + IVA).
3- Compra de 50 licencias de herramientas de trabajo virtual  para el uso de teletrabajo, TEAMS EMRESARIAL ESSENTIAL con ONE DRIVE 1TB
4- 350 HORAS PROFESIONALES PARA AJUSTES EN EL SISTEMA WIZDOM NICSP, Planilla Ley 9635, cambios en la evaluación del desempeño por la nueva normativa, ajustes en reportes y boletas</t>
  </si>
  <si>
    <t>Ejecutar 90% PRESU TC 5048 DSA</t>
  </si>
  <si>
    <t>Ejecutar el 90% del Plan de Trabajo de la DSA</t>
  </si>
  <si>
    <t>350 HORAS PROFESIONALES PARA AJUSTES EN EL SISTEMA WIZDOM NICSP, Planilla Ley 9635, cambios en la evaluación del desempeño por la nueva normativa, ajustes en reportes y boletas</t>
  </si>
  <si>
    <t>_6_TRANSFERENCIAS_CORRIENTES</t>
  </si>
  <si>
    <t>6.01 TRANSFERENCIAS CORRIENTES AL SECTOR PÚBLICO</t>
  </si>
  <si>
    <t>6.01.01 Transferencias corrientes al Gobierno Central</t>
  </si>
  <si>
    <t>FI0102</t>
  </si>
  <si>
    <t>TC al MH por superávit libre 2020</t>
  </si>
  <si>
    <t>6.01.02 Transferencias corrientes a Órganos Desconcentrados</t>
  </si>
  <si>
    <t>Tributo: Comisión Nacional de Prevención de Riesgos y Atención de Emergencias (CNE). En cumplimiento a lo establecido en el Artículo 46 de la Ley 8488 correspondiente al pago del 3% del superávit libre como resultado de la liquidación presupuestaria del año anterior. Se estimo con el promedio de los años 2018-2019-2020.</t>
  </si>
  <si>
    <t>6.01.03 Transferencias corrientes a Instituciones Descentralizadas no</t>
  </si>
  <si>
    <t>01-06 Unidad Gestión del Financiamiento</t>
  </si>
  <si>
    <t>GF0302</t>
  </si>
  <si>
    <t>Ejecutar 90% PRESU TC 7169 GF</t>
  </si>
  <si>
    <t>GF0101</t>
  </si>
  <si>
    <t>Ejecutar el 90% del Plan de Trabajo de Gestión del Financiamiento.</t>
  </si>
  <si>
    <t>Compromisos y reservas Fondo de Incentivos según convocatorias del MICITT</t>
  </si>
  <si>
    <t>GF0306</t>
  </si>
  <si>
    <t>Sustitución de FF</t>
  </si>
  <si>
    <t>GF0103</t>
  </si>
  <si>
    <t>Ejecutar 90% PRESU TC 9028 GF</t>
  </si>
  <si>
    <t>Compromisos y reservas Fondo de Incentivos según convocatorias del MS. Se hace  Sustitución de FF En Wizdom solo se rebajo el disponible de ¢35.124.136 sin ejecutar, lo otro queda en la meta de TC aunque se pagó con superávit</t>
  </si>
  <si>
    <t>926 Superavit específico Ley 9028 Tabaco</t>
  </si>
  <si>
    <t>GF0305</t>
  </si>
  <si>
    <t>Sustitución de FF. En Wizdom solo se aumento  ¢35.991.956 lo otro queda en la meta de TC aunque se pagó con superávit</t>
  </si>
  <si>
    <t>6.01.08 Fondos en fideicomiso para gasto corriente</t>
  </si>
  <si>
    <t>Ejecutar 90% PRESU TC 8262 GF</t>
  </si>
  <si>
    <t>6.02 TRANSFERENCIAS CORRIENTES A PERSONAS</t>
  </si>
  <si>
    <t>6.02.02 Becas a terceras personas</t>
  </si>
  <si>
    <t>6.02.99 Otras transferencias a personas</t>
  </si>
  <si>
    <t>VA0106</t>
  </si>
  <si>
    <t>Sustitución de FF Premio Nacional en CyT</t>
  </si>
  <si>
    <t>6.03 PRESTACIONES</t>
  </si>
  <si>
    <t>6.03.01 Prestaciones legales</t>
  </si>
  <si>
    <t>Se le solicitó a los colaboradores vía correo electrónico que indicaran su intención de jubilarse en el año 2021.  Las personas que respondieron, indicaron que previo a jubilarse disfrutarían las vacaciones acumuladas, por lo que por este concepto no habría que hacer erogación alguna.  Con respecto a la cesantía, romperían el tope y la Asociación Solidarista estaría cubriendo ese rubro.  Se prevee un monto de ¢250.000,00 por alguna diferencia salarial o cesgo.  Programa 1</t>
  </si>
  <si>
    <t>Se le solicitó a los colaboradores vía correo electrónico que indicaran su intención de jubilarse en el año 2021.  Las personas que respondieron, indicaron que previo a jubilarse disfrutarían las vacaciones acumuladas, por lo que por este concepto no habría que hacer erogación alguna.  Con respecto a la cesantía, romperían el tope y la Asociación Solidarista estaría cubriendo ese rubro.  Se prevee un monto de ¢250.000,00 por alguna diferencia salarial o cesgo.  Programa 2</t>
  </si>
  <si>
    <t>Corresponde al pago de subsidio por incapacidades del INS o de la CCSS.  Programa 1</t>
  </si>
  <si>
    <t>Corresponde al pago de subsidio por incapacidades del INS o de la CCSS.  Programa 2</t>
  </si>
  <si>
    <t>6.04 TRANSFERENCIAS CORRIENTES A ENTIDADES PRIVADAS SIN FINES DE LUCRO</t>
  </si>
  <si>
    <t>6.04.02 Transferencias corrientes a fundaciones</t>
  </si>
  <si>
    <t>Compromisos y reservas Fondo de Incentivos según convocatorias del MICITT. Se hace sustitución de FF. En Wizdom sólo rebajo el disponible de ¢30.796.978 sin ejecutar, lo otro queda en la meta de TC aunque se pagó con superávit</t>
  </si>
  <si>
    <t>Sustitución de FF. En Wizdom solo se rebajo el disponible de ¢30.796.978 sin ejecutar, lo otro queda en la meta de TC  aunque se pagó con superávit</t>
  </si>
  <si>
    <t>6.05 TRANSFERENCIAS CORRIENTES A EMPRESAS PRIVADAS</t>
  </si>
  <si>
    <t>6.05.01 Transferencias corrientes a empresas privadas</t>
  </si>
  <si>
    <t>6.06 OTRAS TRANSFERENCIAS CORRIENTES AL SECTOR PRIVADO</t>
  </si>
  <si>
    <t>6.06.01 Indemnizaciones</t>
  </si>
  <si>
    <t>Monto previsto para contingencias ante denuncias, contrademandas, etc</t>
  </si>
  <si>
    <t>E2 se reduce por limitaciones presupuestarias y se considera una previsión</t>
  </si>
  <si>
    <t>6.07 TRANSFERENCIAS CORRIENTES AL SECTOR EXTERNO</t>
  </si>
  <si>
    <t>6.07.01 Transferencias corrientes a organismos internacionales</t>
  </si>
  <si>
    <t>Pago membresía Interciencia</t>
  </si>
  <si>
    <t>_9_CUENTAS_ESPECIALES</t>
  </si>
  <si>
    <t>9.02 SUMAS SIN ASIGNACIÓN PRESUPUESTARIA</t>
  </si>
  <si>
    <t>9.02.01 Sumas libres sin asignación presupuestaria</t>
  </si>
  <si>
    <t>Por improbación de la CGR</t>
  </si>
  <si>
    <t>921 SUPERAVIT ESPECIFICO Ley 7169 Fondo de Incentivos</t>
  </si>
  <si>
    <t>926 SUPERAVIT ESPECIFICO Ley 9028 Tabaco</t>
  </si>
  <si>
    <t>900 SUPERAVIT LIBRE Ley 5048 CONICIT</t>
  </si>
  <si>
    <t>924 SUPERAVIT ESPECIFICO 3% Propyme</t>
  </si>
  <si>
    <t>5 BIENES DURADEROS</t>
  </si>
  <si>
    <t>Etiquetas de fila</t>
  </si>
  <si>
    <t>Suma de Presupuesto total</t>
  </si>
  <si>
    <t>Suma de Resevas</t>
  </si>
  <si>
    <t xml:space="preserve">Suma de Compromisos </t>
  </si>
  <si>
    <t>Suma de Ejecutado</t>
  </si>
  <si>
    <t>Suma de Saldo disponible</t>
  </si>
  <si>
    <t>RESULTADO DEL PERIODO</t>
  </si>
  <si>
    <t>PRESUPUESTO INICIAL</t>
  </si>
  <si>
    <t>PRESUPUESTO EXTRAORDINARIO</t>
  </si>
  <si>
    <t>TOTAL MODIFICACIONES</t>
  </si>
  <si>
    <t>TOTAL EJECUTADO I TRIMESTRE</t>
  </si>
  <si>
    <t>TOTAL EJECUTADO II TRIMESTRE</t>
  </si>
  <si>
    <t>MONTO POR PRESUPUESTAR</t>
  </si>
  <si>
    <t>Total Fondo de Incentivos y Tabaco</t>
  </si>
  <si>
    <t>Estado de la ayuda</t>
  </si>
  <si>
    <t>Código</t>
  </si>
  <si>
    <t>Beneficiario</t>
  </si>
  <si>
    <t>Programa</t>
  </si>
  <si>
    <t>Nombre del proyecto</t>
  </si>
  <si>
    <t>Saldo por girar con presupuesto 2021</t>
  </si>
  <si>
    <t>Otros interéses</t>
  </si>
  <si>
    <t>Compromiso</t>
  </si>
  <si>
    <t>FI-078B-17</t>
  </si>
  <si>
    <t>William Alberto Rojas Vargas</t>
  </si>
  <si>
    <t>Estudios de posgrado</t>
  </si>
  <si>
    <t xml:space="preserve">Maestría en Gestión y Estudios Ambientales </t>
  </si>
  <si>
    <t xml:space="preserve">El caso tiene incumplimiento contractual por lo cual se trasladó a la Asesoría Legal para el debido proceso. </t>
  </si>
  <si>
    <t>FI-261B-17</t>
  </si>
  <si>
    <t>Universidad Nacional (UNA)</t>
  </si>
  <si>
    <t>Proyectos de investigación</t>
  </si>
  <si>
    <t>Facilitation of green adaptation techniques for reduction of seasonal water scarcity in Costa Rica</t>
  </si>
  <si>
    <t>Pendiente Adenda por ampliación al plazo de ejecución aprobado por el Consejo Director según Comunicado de Acuerdo AC-291-19 del 11/10/2019.</t>
  </si>
  <si>
    <t>FI-009B-18</t>
  </si>
  <si>
    <t>David Anthony Romero Zambrano</t>
  </si>
  <si>
    <t>Maestría Académica en Ciencias de la Computación e Informática</t>
  </si>
  <si>
    <t>Pendiente Adenda por ampliación al plazo de ejecución aprobado por el Consejo Director según Comunicado de Acuerdo AC-270-20 del 08/07/2020.</t>
  </si>
  <si>
    <t>Fundación Centro de Alta Tecnología (FUNCENAT)</t>
  </si>
  <si>
    <t>FI-058B-19</t>
  </si>
  <si>
    <t>Instituto Tecnológico de Costa Rica (ITCR)</t>
  </si>
  <si>
    <t>Proyecto de Investigación Aplicada</t>
  </si>
  <si>
    <t>Desarrollo y transferencia del conocimiento científico y métodos agroforestales para la producción óptima y sostenible de fibras naturales de abacá (Musa textilis Née) para la exportación</t>
  </si>
  <si>
    <t xml:space="preserve">Universidad Nacional (UNA)  </t>
  </si>
  <si>
    <t>FI-050B-19</t>
  </si>
  <si>
    <t xml:space="preserve">Speratum CR SA  </t>
  </si>
  <si>
    <t>Desarrollo de un compuesto polimérico patentado de LGA-PEI para la formación de nanopartículas como agentes de transfección de uso comercial</t>
  </si>
  <si>
    <t>TOTAL COMPROMISOS</t>
  </si>
  <si>
    <t>Observaciones</t>
  </si>
  <si>
    <t>Reserva</t>
  </si>
  <si>
    <t>FI-055B-19</t>
  </si>
  <si>
    <t xml:space="preserve">Universidad Técnica Nacional (UTN)   </t>
  </si>
  <si>
    <t>Revalorización de la broza del café como material adsorbente alternativo al carbón activado en la remoción del bromacil de fuentes agua</t>
  </si>
  <si>
    <t>Universidad de Costa Rica (UCR)</t>
  </si>
  <si>
    <t>FI-056B-19</t>
  </si>
  <si>
    <t>Aumento de competitividad del sector morero mediante la valorización de la diversidad genética y química medicinal de la fruta y hoja de la mora costarricense (Rubus spp.)</t>
  </si>
  <si>
    <t xml:space="preserve">No se ha recibido el contrato </t>
  </si>
  <si>
    <t>FI-047B-19</t>
  </si>
  <si>
    <t>Biofábrica para el rejuvenecimiento y reproducción masiva de material seleccionado de Melina (Gmelina arborea Roxb.) para el sector forestal costarricense</t>
  </si>
  <si>
    <t>TOTAL RESERVAS</t>
  </si>
  <si>
    <t>TOTAL COMPROMISOS Y RESERVAS CON FONDO DE INCENTIVOS</t>
  </si>
  <si>
    <t>Proyectos del Fondo de Incentivos</t>
  </si>
  <si>
    <t>Proyectos del Fondo de Tabaco</t>
  </si>
  <si>
    <t>FI-063B-19</t>
  </si>
  <si>
    <t>Fortalecimiento de las capacidades regulatorias del Ministerio de Salud para la prevención y minimización de los impactos generados por el consumo de tabaco.</t>
  </si>
  <si>
    <t>Presupuesto inicial</t>
  </si>
  <si>
    <t>Presupuesto extraordinario</t>
  </si>
  <si>
    <t>SALDO SIN EJECUTAR</t>
  </si>
  <si>
    <t>Presupuesto final aprobado</t>
  </si>
  <si>
    <t>Reservas</t>
  </si>
  <si>
    <t>Compromisos</t>
  </si>
  <si>
    <t>Notas:</t>
  </si>
  <si>
    <t>Renta por pagar salarios y dietas</t>
  </si>
  <si>
    <t xml:space="preserve">Renta por pagar proveedores </t>
  </si>
  <si>
    <t>CCSS cuota obrera del mes de diciembre pagada en enero</t>
  </si>
  <si>
    <t>Redondeo por pago CCSS e ISR</t>
  </si>
  <si>
    <t>Intereses ganados BCR-001-0305777-1 (no considerados en saldos de cuentas)</t>
  </si>
  <si>
    <t>Caja chica depositada temporalmente en la 1015</t>
  </si>
  <si>
    <t>Diferencia entre saldo CU y liquidación diciembre 2020</t>
  </si>
  <si>
    <t xml:space="preserve"> II Trimestre, 2021</t>
  </si>
  <si>
    <t>6.07.01 Transferencias Corrientes a Organismos Internacionales</t>
  </si>
  <si>
    <t>Ministerio de Hacienda</t>
  </si>
  <si>
    <t>6.04.02 Transferencias Corrientes a Fundaciones</t>
  </si>
  <si>
    <t>Universidad Nacional</t>
  </si>
  <si>
    <t>6.01.01 Transferencias Corrientes al Gobierno Central</t>
  </si>
  <si>
    <t>Desarrollo de proyectos de investigación con recursos del Fondo de Tabaco Ley 9028.</t>
  </si>
  <si>
    <t>Reintegro del superávit libre 2020 según Decreto N° 42745-H reforma el artículo 17 del Título IV, Capítulo III de la Ley N°9635 “Fortalecimiento de las Finanzas Públicas” y Circular CIRTN- 019-2020.</t>
  </si>
  <si>
    <t>Cuota de Organismos Internacionales 2021, según lo indicado en oficio TN-UCI-0140-2021.</t>
  </si>
  <si>
    <t>Desarrollo de proyecto de investigación aplicada con recursos del Fondo de Incentivos, Ley 7169.</t>
  </si>
  <si>
    <t>JULIO</t>
  </si>
  <si>
    <t>AGOSTO</t>
  </si>
  <si>
    <t>SETIEMBRE</t>
  </si>
  <si>
    <t>INGRESO TOTAL RECIBIDO III TRIMESTRE</t>
  </si>
  <si>
    <t>Modificación 04-2021</t>
  </si>
  <si>
    <t>MN04-202212</t>
  </si>
  <si>
    <t>Fuente de Financiamiento</t>
  </si>
  <si>
    <t>Código Meta Planificación POI</t>
  </si>
  <si>
    <t>Meta POI</t>
  </si>
  <si>
    <t>1.05 GASTOS DE VIAJE Y DE TRANSPORTE</t>
  </si>
  <si>
    <t>1.05.02 Viáticos dentro del país</t>
  </si>
  <si>
    <t xml:space="preserve">Promover los Fondos disponibles para el financimiento de proyectos de Ciencia, Tecnología e Innovación, provenientes de la Ley N° 7169 Fondo de Incentivos, Ley N° 8262 Fondo Propyme y Ley N° 9028 Fondo Control de Tabaco. Haciendo un énfasis en el Fondo Propyme al tener dos convocatorias abiertas y al haber experimentado poca demanda en las mismas. </t>
  </si>
  <si>
    <t>Póliza de riesgos de trabajo y liquidación 2021</t>
  </si>
  <si>
    <t>2.01.02 Productos farmacéuticos y medicinales</t>
  </si>
  <si>
    <t>Compra de alcohol en gel</t>
  </si>
  <si>
    <t>01-08 Secretaría Ejecutiva</t>
  </si>
  <si>
    <t>Compra trituradora de papel y de un scanner para uso del Archivista</t>
  </si>
  <si>
    <t>compra  e instalación de dos aires acondicionados para el cuarto de servidores de la organización.</t>
  </si>
  <si>
    <t>5.01.05 Equipo y programas de cómputo</t>
  </si>
  <si>
    <t>Ejecutar 90% PRESU SUPERAVIT 3% Propyme TIC</t>
  </si>
  <si>
    <t>compra de computadoras portátiles y  monitores para computadora con el fin de renovar equipos del personal encargado de las solicitudes de financiamiento de Propyme  que ya cumplieron su vida útil y han presentado problemas en su función.</t>
  </si>
  <si>
    <t>Ejecutar 90% PRESU SUPERÁVIT 5048 TIC</t>
  </si>
  <si>
    <t>compra de computadoras portátiles y  monitores para computadora con el fin de renovar equipos del personal considerando que ya cumplieron su vida útil y han presentado problemas en su función.</t>
  </si>
  <si>
    <t>Ejecutar 90% PRESU TC 3% Propyme TIC</t>
  </si>
  <si>
    <t>Ejecutar 90% PRESU SUPERAVIT 5048 FI</t>
  </si>
  <si>
    <t>TOTAL EJECUTADO III TRIMESTRE</t>
  </si>
  <si>
    <t>Finiquito Fideicomiso 04-99</t>
  </si>
  <si>
    <t>TOTAL III TRIMESTRE</t>
  </si>
  <si>
    <t xml:space="preserve"> III Trimestre, 2021</t>
  </si>
  <si>
    <t>Asociación Interciencia</t>
  </si>
  <si>
    <t>Estos recurso se estarán ejecutando en el 2022</t>
  </si>
  <si>
    <t>FI-0006-20</t>
  </si>
  <si>
    <t>FI-0007-20</t>
  </si>
  <si>
    <t>FI-0002-20</t>
  </si>
  <si>
    <t>Desarrollo e implementación de tres ensayos de neutralización por anticuerpos contra SARS-COV-2 en laboratorios de bioseguridad tipo 2</t>
  </si>
  <si>
    <t>Diseño y Construcción de un prototipo de ventilador para atender al emergencia de COVID-19</t>
  </si>
  <si>
    <t>Nano-fitofármacos para la prevención y el tratamiento de COVID-19: Escalamiento de nanosistemas sólido-lipídicos y estudio in silico e in vitro de candidatos inhibidores del virus SARS-CoV-2</t>
  </si>
  <si>
    <t xml:space="preserve">Estos recurso se estarán ejecutando una vez la UCR reciba la aprobación del presupuesto extraordinario por parte de la CGR </t>
  </si>
  <si>
    <t>AL 30 DE SETIEMBRE 2021</t>
  </si>
  <si>
    <t>CCSS cuota obrera del mes de setiembre por pagar</t>
  </si>
  <si>
    <t>Cobro de mas por la CCSS en planilla de junio 2021</t>
  </si>
  <si>
    <r>
      <rPr>
        <b/>
        <sz val="10"/>
        <color theme="1"/>
        <rFont val="Arial"/>
        <family val="2"/>
      </rPr>
      <t xml:space="preserve">Nota: </t>
    </r>
    <r>
      <rPr>
        <sz val="10"/>
        <color theme="1"/>
        <rFont val="Arial"/>
        <family val="2"/>
      </rPr>
      <t xml:space="preserve">El porcentaje de la línea de ingresos no tributarios y recursos de vigencias anteriores se calcula en función del monto presupuestado ya que con el ingreso real se supera el 100%. </t>
    </r>
  </si>
  <si>
    <r>
      <rPr>
        <b/>
        <sz val="11"/>
        <color theme="1"/>
        <rFont val="Arial"/>
        <family val="2"/>
      </rPr>
      <t xml:space="preserve">1/ </t>
    </r>
    <r>
      <rPr>
        <sz val="11"/>
        <color theme="1"/>
        <rFont val="Arial"/>
        <family val="2"/>
      </rPr>
      <t>El porcentaje de ejecución corresponde al resultado de los gastos ejecutados entre el presupuesto total</t>
    </r>
  </si>
  <si>
    <t>Pago de cuotas de Organismos Internacionales para el año 2021. Ministerio de Hacienda de conformidad con lo establecido en la Ley 3418 por concepto de cuotas de Organismos Internacionales para el año 2020. Se estimo con el promedio de los años monto cancelado para el período 2019.  
Y pago Interciencia</t>
  </si>
  <si>
    <t xml:space="preserve">1/ Se aclara que en el Sistema Administrativo Wizdom, el reporte por fuente de financiamiento indica que se ejecutaron ¢284.137.104,00 con fuente de financiamiento Transferencia Corriente Fondo de Incentivos, siendo lo correcto la suma de ¢261.159.637,00 y, la diferencia de ¢22.977.467,00 más ¢38.806.136,00 fueron ejecutados con recursos del Superávit específico Fondo de Incentivos según lo indicado en el Presupuesto Extraordinario. </t>
  </si>
  <si>
    <t xml:space="preserve">2/ Con respecto al Fondo de Tabaco, se aclara que en el Sistema Administrativo Wizdom, el reporte por fuente de financiamiento indica que se ejecutaron ¢14.875.864,00 con fuente de financiamiento Transferencia Corriente Fondo de Tabaco, siendo lo correcto una ejecución de ¢0.00 ya que el monto de ¢14.875.864,00 fue ejecutado con recursos del Superávit específico Fondo de Tabaco según lo indicado en el Presupuesto Extraordinario. </t>
  </si>
  <si>
    <t>Se requiere adenda al contrato, ya que el mismo indica un monto aprobado mayor al reservado. Este proyecto se estará ejecutando en conjunto con la FUNCENAT, UCR y el ITCR.</t>
  </si>
  <si>
    <t>Programado a ejecutarse la primera semana de octubre, ya se recibió la solicitud de pago.</t>
  </si>
  <si>
    <t>Según oficio de la UNA solicitan dar por rescindido el contrato ante la imposibilidad material que tiene el Laboratorio de Análisis Ambiental de la Escuela de Ciencias Ambientales de la UNA o bien posponer el inicio del proyecto.</t>
  </si>
  <si>
    <t>Membresía anual por la afiliación a la Asociación Interciencia correspondiente al período 2021.</t>
  </si>
  <si>
    <t>Exonerados por pagar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</si>
</sst>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 _¢_-;\-* #,##0.00\ _¢_-;_-* &quot;-&quot;??\ _¢_-;_-@_-"/>
    <numFmt numFmtId="165" formatCode="_(* #,##0.00_);_(* \(#,##0.00\);_(* &quot;-&quot;??_);_(@_)"/>
    <numFmt numFmtId="166" formatCode="_-* #,##0.00\ _P_t_s_-;\-* #,##0.00\ _P_t_s_-;_-* &quot;-&quot;??\ _P_t_s_-;_-@_-"/>
    <numFmt numFmtId="167" formatCode="&quot;₡&quot;#,##0.00"/>
  </numFmts>
  <fonts count="46"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0"/>
      <name val="Arial"/>
      <family val="2"/>
    </font>
    <font>
      <sz val="10"/>
      <name val="Courier"/>
      <family val="3"/>
    </font>
    <font>
      <sz val="10"/>
      <name val="Courier"/>
      <family val="3"/>
    </font>
    <font>
      <sz val="11"/>
      <name val="Arial Narrow"/>
      <family val="2"/>
    </font>
    <font>
      <b/>
      <sz val="9"/>
      <color theme="1"/>
      <name val="Arial"/>
      <family val="2"/>
    </font>
    <font>
      <sz val="9"/>
      <color theme="1"/>
      <name val="Arial"/>
      <family val="2"/>
    </font>
    <font>
      <b/>
      <sz val="11"/>
      <name val="Arial"/>
      <family val="2"/>
    </font>
    <font>
      <b/>
      <sz val="11"/>
      <color theme="1"/>
      <name val="Arial"/>
      <family val="2"/>
    </font>
    <font>
      <sz val="11"/>
      <color theme="1"/>
      <name val="Arial"/>
      <family val="2"/>
    </font>
    <font>
      <b/>
      <sz val="11"/>
      <color theme="0"/>
      <name val="Arial"/>
      <family val="2"/>
    </font>
    <font>
      <sz val="10"/>
      <name val="Arial"/>
      <family val="2"/>
    </font>
    <font>
      <b/>
      <sz val="11"/>
      <name val="Arial Narrow"/>
      <family val="2"/>
    </font>
    <font>
      <b/>
      <i/>
      <sz val="11"/>
      <name val="Arial Narrow"/>
      <family val="2"/>
    </font>
    <font>
      <sz val="10"/>
      <name val="Arial"/>
      <family val="2"/>
    </font>
    <font>
      <b/>
      <sz val="11"/>
      <color theme="0"/>
      <name val="Arial Narrow"/>
      <family val="2"/>
    </font>
    <font>
      <b/>
      <sz val="12"/>
      <color theme="0"/>
      <name val="Arial Narrow"/>
      <family val="2"/>
    </font>
    <font>
      <sz val="10"/>
      <color rgb="FF000000"/>
      <name val="Arial"/>
      <family val="2"/>
    </font>
    <font>
      <b/>
      <sz val="10"/>
      <color rgb="FF000000"/>
      <name val="Arial"/>
      <family val="2"/>
    </font>
    <font>
      <b/>
      <sz val="10"/>
      <color theme="0" tint="-4.9989318521683403E-2"/>
      <name val="Arial"/>
      <family val="2"/>
    </font>
    <font>
      <sz val="10"/>
      <color rgb="FF000000"/>
      <name val="Cambria"/>
      <family val="1"/>
    </font>
    <font>
      <b/>
      <sz val="10"/>
      <name val="Arial"/>
      <family val="2"/>
    </font>
    <font>
      <b/>
      <sz val="12"/>
      <name val="Calibri"/>
      <family val="2"/>
      <scheme val="minor"/>
    </font>
    <font>
      <b/>
      <sz val="10"/>
      <color theme="0"/>
      <name val="Arial"/>
      <family val="2"/>
    </font>
    <font>
      <b/>
      <sz val="11"/>
      <color theme="1"/>
      <name val="Franklin Gothic Book"/>
      <family val="2"/>
    </font>
    <font>
      <sz val="10"/>
      <name val="Franklin Gothic Book"/>
      <family val="2"/>
    </font>
    <font>
      <sz val="10"/>
      <color theme="1"/>
      <name val="Franklin Gothic Book"/>
      <family val="2"/>
    </font>
    <font>
      <b/>
      <sz val="12"/>
      <color theme="0"/>
      <name val="Franklin Gothic Book"/>
      <family val="2"/>
    </font>
    <font>
      <b/>
      <sz val="12"/>
      <name val="Franklin Gothic Book"/>
      <family val="2"/>
    </font>
    <font>
      <sz val="10"/>
      <color rgb="FFFF0000"/>
      <name val="Franklin Gothic Book"/>
      <family val="2"/>
    </font>
    <font>
      <b/>
      <sz val="10"/>
      <color theme="1"/>
      <name val="Franklin Gothic Book"/>
      <family val="2"/>
    </font>
    <font>
      <b/>
      <sz val="9"/>
      <color indexed="81"/>
      <name val="Tahoma"/>
      <family val="2"/>
    </font>
    <font>
      <sz val="9"/>
      <color indexed="81"/>
      <name val="Tahoma"/>
      <family val="2"/>
    </font>
    <font>
      <b/>
      <sz val="10"/>
      <color theme="1"/>
      <name val="Arial"/>
      <family val="2"/>
    </font>
    <font>
      <b/>
      <sz val="11"/>
      <color theme="0"/>
      <name val="Calibri"/>
      <family val="2"/>
      <scheme val="minor"/>
    </font>
    <font>
      <b/>
      <sz val="14"/>
      <color theme="1"/>
      <name val="Arial"/>
      <family val="2"/>
    </font>
    <font>
      <b/>
      <sz val="18"/>
      <color theme="1"/>
      <name val="Calibri"/>
      <family val="2"/>
      <scheme val="minor"/>
    </font>
    <font>
      <sz val="11"/>
      <name val="Calibri"/>
      <family val="2"/>
      <scheme val="minor"/>
    </font>
    <font>
      <sz val="12"/>
      <color theme="1"/>
      <name val="Calibri"/>
      <family val="2"/>
      <scheme val="minor"/>
    </font>
    <font>
      <sz val="11"/>
      <name val="Arial"/>
      <family val="2"/>
    </font>
    <font>
      <b/>
      <sz val="11"/>
      <name val="Calibri"/>
      <family val="2"/>
      <scheme val="minor"/>
    </font>
    <font>
      <sz val="10"/>
      <color theme="1"/>
      <name val="Calibri"/>
      <family val="2"/>
      <scheme val="minor"/>
    </font>
    <font>
      <sz val="10"/>
      <color theme="1"/>
      <name val="Arial"/>
      <family val="2"/>
    </font>
  </fonts>
  <fills count="17">
    <fill>
      <patternFill patternType="none"/>
    </fill>
    <fill>
      <patternFill patternType="gray125"/>
    </fill>
    <fill>
      <patternFill patternType="solid">
        <fgColor theme="4" tint="-0.249977111117893"/>
        <bgColor indexed="64"/>
      </patternFill>
    </fill>
    <fill>
      <patternFill patternType="solid">
        <fgColor rgb="FFFFFF00"/>
        <bgColor indexed="64"/>
      </patternFill>
    </fill>
    <fill>
      <patternFill patternType="solid">
        <fgColor theme="4"/>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002060"/>
        <bgColor rgb="FF000000"/>
      </patternFill>
    </fill>
    <fill>
      <patternFill patternType="solid">
        <fgColor theme="4" tint="-0.249977111117893"/>
        <bgColor theme="4" tint="0.79998168889431442"/>
      </patternFill>
    </fill>
    <fill>
      <patternFill patternType="solid">
        <fgColor theme="4" tint="0.39997558519241921"/>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
      <patternFill patternType="solid">
        <fgColor rgb="FF75702B"/>
        <bgColor indexed="64"/>
      </patternFill>
    </fill>
    <fill>
      <patternFill patternType="solid">
        <fgColor theme="8" tint="0.39997558519241921"/>
        <bgColor indexed="64"/>
      </patternFill>
    </fill>
    <fill>
      <patternFill patternType="solid">
        <fgColor theme="9"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bottom/>
      <diagonal/>
    </border>
    <border>
      <left style="thin">
        <color indexed="64"/>
      </left>
      <right/>
      <top style="thin">
        <color rgb="FF000000"/>
      </top>
      <bottom style="thin">
        <color indexed="64"/>
      </bottom>
      <diagonal/>
    </border>
    <border>
      <left style="thin">
        <color indexed="64"/>
      </left>
      <right style="thin">
        <color indexed="64"/>
      </right>
      <top style="thin">
        <color rgb="FF000000"/>
      </top>
      <bottom style="thin">
        <color indexed="64"/>
      </bottom>
      <diagonal/>
    </border>
  </borders>
  <cellStyleXfs count="126">
    <xf numFmtId="0" fontId="0" fillId="0" borderId="0"/>
    <xf numFmtId="164" fontId="1" fillId="0" borderId="0" applyFont="0" applyFill="0" applyBorder="0" applyAlignment="0" applyProtection="0"/>
    <xf numFmtId="9" fontId="1" fillId="0" borderId="0" applyFont="0" applyFill="0" applyBorder="0" applyAlignment="0" applyProtection="0"/>
    <xf numFmtId="0" fontId="4" fillId="0" borderId="0"/>
    <xf numFmtId="0" fontId="5" fillId="0" borderId="0"/>
    <xf numFmtId="165" fontId="6" fillId="0" borderId="0" applyFont="0" applyFill="0" applyBorder="0" applyAlignment="0" applyProtection="0"/>
    <xf numFmtId="164" fontId="1"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14" fillId="0" borderId="0"/>
    <xf numFmtId="0" fontId="4" fillId="0" borderId="0"/>
    <xf numFmtId="9" fontId="1" fillId="0" borderId="0" applyFont="0" applyFill="0" applyBorder="0" applyAlignment="0" applyProtection="0"/>
    <xf numFmtId="0" fontId="17" fillId="0" borderId="0"/>
    <xf numFmtId="164" fontId="1" fillId="0" borderId="0" applyFont="0" applyFill="0" applyBorder="0" applyAlignment="0" applyProtection="0"/>
    <xf numFmtId="165" fontId="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66" fontId="4" fillId="0" borderId="0" applyFont="0" applyFill="0" applyBorder="0" applyAlignment="0" applyProtection="0"/>
    <xf numFmtId="0" fontId="4" fillId="0" borderId="0"/>
    <xf numFmtId="0" fontId="4"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4"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4"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cellStyleXfs>
  <cellXfs count="479">
    <xf numFmtId="0" fontId="0" fillId="0" borderId="0" xfId="0"/>
    <xf numFmtId="164" fontId="0" fillId="0" borderId="0" xfId="1" applyFont="1"/>
    <xf numFmtId="164" fontId="0" fillId="0" borderId="0" xfId="0" applyNumberFormat="1"/>
    <xf numFmtId="0" fontId="0" fillId="0" borderId="0" xfId="0" applyFill="1"/>
    <xf numFmtId="0" fontId="0" fillId="0" borderId="0" xfId="0" applyFill="1" applyBorder="1"/>
    <xf numFmtId="0" fontId="8" fillId="0" borderId="0" xfId="0" applyFont="1" applyFill="1" applyBorder="1" applyAlignment="1">
      <alignment horizontal="center"/>
    </xf>
    <xf numFmtId="0" fontId="11" fillId="0" borderId="8" xfId="0" applyFont="1" applyBorder="1"/>
    <xf numFmtId="164" fontId="11" fillId="0" borderId="0" xfId="1" applyFont="1" applyFill="1" applyBorder="1"/>
    <xf numFmtId="0" fontId="12" fillId="0" borderId="8" xfId="0" applyFont="1" applyBorder="1"/>
    <xf numFmtId="164" fontId="12" fillId="0" borderId="0" xfId="1" applyFont="1" applyFill="1" applyBorder="1"/>
    <xf numFmtId="164" fontId="12" fillId="0" borderId="0" xfId="1" applyFont="1" applyBorder="1"/>
    <xf numFmtId="0" fontId="13" fillId="2" borderId="1" xfId="0" applyFont="1" applyFill="1" applyBorder="1" applyAlignment="1">
      <alignment horizontal="center" vertical="center" wrapText="1"/>
    </xf>
    <xf numFmtId="0" fontId="7" fillId="0" borderId="0" xfId="12" applyFont="1"/>
    <xf numFmtId="0" fontId="15" fillId="0" borderId="0" xfId="12" applyFont="1"/>
    <xf numFmtId="4" fontId="15" fillId="0" borderId="0" xfId="12" applyNumberFormat="1" applyFont="1"/>
    <xf numFmtId="164" fontId="0" fillId="0" borderId="0" xfId="1" applyFont="1" applyBorder="1"/>
    <xf numFmtId="0" fontId="0" fillId="0" borderId="0" xfId="0"/>
    <xf numFmtId="0" fontId="0" fillId="0" borderId="0" xfId="0" applyAlignment="1">
      <alignment vertical="center"/>
    </xf>
    <xf numFmtId="0" fontId="18" fillId="4" borderId="10" xfId="12" applyFont="1" applyFill="1" applyBorder="1"/>
    <xf numFmtId="0" fontId="11" fillId="0" borderId="0" xfId="0" applyFont="1" applyFill="1" applyBorder="1"/>
    <xf numFmtId="0" fontId="0" fillId="0" borderId="0" xfId="0" applyBorder="1"/>
    <xf numFmtId="164" fontId="7" fillId="0" borderId="0" xfId="1" applyFont="1"/>
    <xf numFmtId="0" fontId="7" fillId="0" borderId="0" xfId="12" applyFont="1"/>
    <xf numFmtId="0" fontId="7" fillId="0" borderId="0" xfId="12" applyFont="1" applyFill="1" applyBorder="1"/>
    <xf numFmtId="0" fontId="2" fillId="5" borderId="4" xfId="0" applyFont="1" applyFill="1" applyBorder="1" applyAlignment="1">
      <alignment horizontal="left"/>
    </xf>
    <xf numFmtId="165" fontId="2" fillId="5" borderId="4" xfId="0" applyNumberFormat="1" applyFont="1" applyFill="1" applyBorder="1"/>
    <xf numFmtId="0" fontId="13" fillId="2" borderId="6" xfId="0" applyFont="1" applyFill="1" applyBorder="1" applyAlignment="1">
      <alignment horizontal="center" vertical="center" wrapText="1"/>
    </xf>
    <xf numFmtId="164" fontId="13" fillId="2" borderId="6" xfId="0" applyNumberFormat="1" applyFont="1" applyFill="1" applyBorder="1" applyAlignment="1">
      <alignment horizontal="center" vertical="center" wrapText="1"/>
    </xf>
    <xf numFmtId="0" fontId="0" fillId="0" borderId="8" xfId="0" applyFill="1" applyBorder="1" applyAlignment="1">
      <alignment horizontal="left" indent="2"/>
    </xf>
    <xf numFmtId="165" fontId="0" fillId="0" borderId="0" xfId="0" applyNumberFormat="1" applyFill="1" applyBorder="1"/>
    <xf numFmtId="165" fontId="2" fillId="0" borderId="3" xfId="0" applyNumberFormat="1" applyFont="1" applyFill="1" applyBorder="1"/>
    <xf numFmtId="0" fontId="2" fillId="0" borderId="2" xfId="0" applyFont="1" applyFill="1" applyBorder="1" applyAlignment="1">
      <alignment horizontal="left" vertical="center" wrapText="1"/>
    </xf>
    <xf numFmtId="165" fontId="2" fillId="0" borderId="3" xfId="0" applyNumberFormat="1" applyFont="1" applyFill="1" applyBorder="1" applyAlignment="1">
      <alignment vertical="center"/>
    </xf>
    <xf numFmtId="0" fontId="15" fillId="0" borderId="8" xfId="12" applyFont="1" applyBorder="1"/>
    <xf numFmtId="0" fontId="15" fillId="0" borderId="0" xfId="12" applyFont="1" applyFill="1" applyBorder="1"/>
    <xf numFmtId="0" fontId="7" fillId="0" borderId="9" xfId="12" applyFont="1" applyFill="1" applyBorder="1"/>
    <xf numFmtId="0" fontId="7" fillId="0" borderId="8" xfId="12" applyFont="1" applyBorder="1"/>
    <xf numFmtId="0" fontId="7" fillId="0" borderId="8" xfId="12" applyFont="1" applyFill="1" applyBorder="1"/>
    <xf numFmtId="0" fontId="18" fillId="4" borderId="12" xfId="12" applyFont="1" applyFill="1" applyBorder="1"/>
    <xf numFmtId="164" fontId="15" fillId="0" borderId="0" xfId="1" applyFont="1"/>
    <xf numFmtId="0" fontId="15" fillId="0" borderId="8" xfId="12" applyFont="1" applyFill="1" applyBorder="1"/>
    <xf numFmtId="0" fontId="7" fillId="0" borderId="0" xfId="12" applyFont="1" applyAlignment="1">
      <alignment vertical="center"/>
    </xf>
    <xf numFmtId="0" fontId="15" fillId="0" borderId="8" xfId="12" applyFont="1" applyFill="1" applyBorder="1" applyAlignment="1">
      <alignment vertical="center"/>
    </xf>
    <xf numFmtId="0" fontId="15" fillId="0" borderId="0" xfId="12" applyFont="1" applyFill="1" applyBorder="1" applyAlignment="1">
      <alignment vertical="center" wrapText="1"/>
    </xf>
    <xf numFmtId="164" fontId="15" fillId="0" borderId="5" xfId="1" applyFont="1" applyFill="1" applyBorder="1"/>
    <xf numFmtId="164" fontId="7" fillId="0" borderId="5" xfId="1" applyFont="1" applyBorder="1"/>
    <xf numFmtId="164" fontId="15" fillId="0" borderId="5" xfId="1" applyFont="1" applyFill="1" applyBorder="1" applyAlignment="1">
      <alignment vertical="center"/>
    </xf>
    <xf numFmtId="164" fontId="7" fillId="0" borderId="5" xfId="1" applyFont="1" applyFill="1" applyBorder="1"/>
    <xf numFmtId="0" fontId="15" fillId="0" borderId="8" xfId="12" applyFont="1" applyBorder="1" applyAlignment="1">
      <alignment vertical="center" wrapText="1"/>
    </xf>
    <xf numFmtId="164" fontId="15" fillId="0" borderId="5" xfId="1" applyFont="1" applyFill="1" applyBorder="1" applyAlignment="1">
      <alignment vertical="center" wrapText="1"/>
    </xf>
    <xf numFmtId="0" fontId="15" fillId="6" borderId="15" xfId="12" applyFont="1" applyFill="1" applyBorder="1"/>
    <xf numFmtId="0" fontId="15" fillId="6" borderId="10" xfId="12" applyFont="1" applyFill="1" applyBorder="1"/>
    <xf numFmtId="164" fontId="15" fillId="6" borderId="17" xfId="1" applyFont="1" applyFill="1" applyBorder="1"/>
    <xf numFmtId="0" fontId="16" fillId="0" borderId="8" xfId="12" applyFont="1" applyBorder="1"/>
    <xf numFmtId="0" fontId="16" fillId="0" borderId="0" xfId="12" applyFont="1" applyFill="1" applyBorder="1"/>
    <xf numFmtId="164" fontId="16" fillId="0" borderId="0" xfId="1" applyFont="1" applyFill="1" applyBorder="1"/>
    <xf numFmtId="4" fontId="16" fillId="0" borderId="9" xfId="12" applyNumberFormat="1" applyFont="1" applyFill="1" applyBorder="1"/>
    <xf numFmtId="164" fontId="16" fillId="0" borderId="5" xfId="1" applyFont="1" applyFill="1" applyBorder="1"/>
    <xf numFmtId="0" fontId="15" fillId="7" borderId="2" xfId="12" applyFont="1" applyFill="1" applyBorder="1"/>
    <xf numFmtId="0" fontId="15" fillId="7" borderId="3" xfId="12" applyFont="1" applyFill="1" applyBorder="1"/>
    <xf numFmtId="164" fontId="15" fillId="7" borderId="1" xfId="1" applyFont="1" applyFill="1" applyBorder="1"/>
    <xf numFmtId="0" fontId="11" fillId="0" borderId="0" xfId="0" applyFont="1" applyBorder="1"/>
    <xf numFmtId="164" fontId="10" fillId="6" borderId="0" xfId="1" applyFont="1" applyFill="1" applyBorder="1" applyAlignment="1">
      <alignment horizontal="center" vertical="center"/>
    </xf>
    <xf numFmtId="0" fontId="13" fillId="2" borderId="0" xfId="0" applyFont="1" applyFill="1" applyBorder="1" applyAlignment="1">
      <alignment horizontal="left" vertical="center"/>
    </xf>
    <xf numFmtId="164" fontId="13" fillId="2" borderId="0" xfId="1" applyFont="1" applyFill="1" applyBorder="1" applyAlignment="1">
      <alignment horizontal="center" vertical="center"/>
    </xf>
    <xf numFmtId="0" fontId="10" fillId="6" borderId="8" xfId="0" applyFont="1" applyFill="1" applyBorder="1" applyAlignment="1">
      <alignment horizontal="center" vertical="center"/>
    </xf>
    <xf numFmtId="0" fontId="13" fillId="2" borderId="8" xfId="0" applyFont="1" applyFill="1" applyBorder="1" applyAlignment="1">
      <alignment horizontal="left" vertical="center"/>
    </xf>
    <xf numFmtId="164" fontId="10" fillId="6" borderId="0" xfId="0" applyNumberFormat="1" applyFont="1" applyFill="1" applyBorder="1" applyAlignment="1">
      <alignment horizontal="center" vertical="center"/>
    </xf>
    <xf numFmtId="0" fontId="13" fillId="2" borderId="19" xfId="0" applyFont="1" applyFill="1" applyBorder="1" applyAlignment="1">
      <alignment horizontal="center" vertical="center"/>
    </xf>
    <xf numFmtId="0" fontId="13" fillId="2" borderId="18" xfId="0" applyFont="1" applyFill="1" applyBorder="1" applyAlignment="1">
      <alignment horizontal="center" vertical="center" wrapText="1"/>
    </xf>
    <xf numFmtId="164" fontId="13" fillId="2" borderId="20" xfId="1" applyFont="1" applyFill="1" applyBorder="1" applyAlignment="1">
      <alignment horizontal="center" vertical="center" wrapText="1"/>
    </xf>
    <xf numFmtId="164" fontId="13" fillId="2" borderId="18" xfId="1" applyFont="1" applyFill="1" applyBorder="1" applyAlignment="1">
      <alignment horizontal="center" vertical="center" wrapText="1"/>
    </xf>
    <xf numFmtId="10" fontId="10" fillId="6" borderId="9" xfId="2" applyNumberFormat="1" applyFont="1" applyFill="1" applyBorder="1" applyAlignment="1">
      <alignment horizontal="center" vertical="center"/>
    </xf>
    <xf numFmtId="10" fontId="9" fillId="0" borderId="9" xfId="2" applyNumberFormat="1" applyFont="1" applyFill="1" applyBorder="1" applyAlignment="1">
      <alignment horizontal="center"/>
    </xf>
    <xf numFmtId="10" fontId="9" fillId="0" borderId="9" xfId="1" applyNumberFormat="1" applyFont="1" applyFill="1" applyBorder="1"/>
    <xf numFmtId="10" fontId="13" fillId="2" borderId="9" xfId="0" applyNumberFormat="1" applyFont="1" applyFill="1" applyBorder="1" applyAlignment="1">
      <alignment horizontal="left" vertical="center"/>
    </xf>
    <xf numFmtId="0" fontId="2" fillId="0" borderId="2" xfId="0" applyFont="1" applyFill="1" applyBorder="1" applyAlignment="1"/>
    <xf numFmtId="10" fontId="3" fillId="5" borderId="4" xfId="2" applyNumberFormat="1" applyFont="1" applyFill="1" applyBorder="1" applyAlignment="1">
      <alignment horizontal="right" vertical="center" wrapText="1"/>
    </xf>
    <xf numFmtId="10" fontId="2" fillId="0" borderId="7" xfId="2" applyNumberFormat="1" applyFont="1" applyFill="1" applyBorder="1" applyAlignment="1">
      <alignment horizontal="right" vertical="center"/>
    </xf>
    <xf numFmtId="10" fontId="0" fillId="0" borderId="9" xfId="2" applyNumberFormat="1" applyFont="1" applyFill="1" applyBorder="1" applyAlignment="1">
      <alignment horizontal="right"/>
    </xf>
    <xf numFmtId="0" fontId="0" fillId="0" borderId="0" xfId="0" applyAlignment="1">
      <alignment horizontal="right"/>
    </xf>
    <xf numFmtId="10" fontId="1" fillId="0" borderId="9" xfId="2" applyNumberFormat="1" applyFont="1" applyFill="1" applyBorder="1" applyAlignment="1">
      <alignment horizontal="right" vertical="center"/>
    </xf>
    <xf numFmtId="10" fontId="2" fillId="0" borderId="7" xfId="2" applyNumberFormat="1" applyFont="1" applyFill="1" applyBorder="1" applyAlignment="1">
      <alignment horizontal="right"/>
    </xf>
    <xf numFmtId="10" fontId="13" fillId="2" borderId="6" xfId="2" applyNumberFormat="1" applyFont="1" applyFill="1" applyBorder="1" applyAlignment="1">
      <alignment horizontal="right" vertical="center" wrapText="1"/>
    </xf>
    <xf numFmtId="10" fontId="7" fillId="0" borderId="9" xfId="2" applyNumberFormat="1" applyFont="1" applyFill="1" applyBorder="1"/>
    <xf numFmtId="10" fontId="15" fillId="0" borderId="9" xfId="2" applyNumberFormat="1" applyFont="1" applyFill="1" applyBorder="1"/>
    <xf numFmtId="10" fontId="15" fillId="7" borderId="7" xfId="2" applyNumberFormat="1" applyFont="1" applyFill="1" applyBorder="1"/>
    <xf numFmtId="164" fontId="15" fillId="0" borderId="9" xfId="1" applyFont="1" applyFill="1" applyBorder="1"/>
    <xf numFmtId="10" fontId="15" fillId="6" borderId="16" xfId="2" applyNumberFormat="1" applyFont="1" applyFill="1" applyBorder="1"/>
    <xf numFmtId="10" fontId="16" fillId="0" borderId="9" xfId="2" applyNumberFormat="1" applyFont="1" applyFill="1" applyBorder="1"/>
    <xf numFmtId="10" fontId="15" fillId="0" borderId="9" xfId="2" applyNumberFormat="1" applyFont="1" applyBorder="1" applyAlignment="1">
      <alignment vertical="center"/>
    </xf>
    <xf numFmtId="0" fontId="7" fillId="0" borderId="8" xfId="12" applyFont="1" applyBorder="1" applyAlignment="1">
      <alignment vertical="center"/>
    </xf>
    <xf numFmtId="0" fontId="0" fillId="0" borderId="2" xfId="0" applyBorder="1" applyAlignment="1">
      <alignment horizontal="left" indent="2"/>
    </xf>
    <xf numFmtId="0" fontId="20" fillId="0" borderId="0" xfId="0" applyFont="1" applyFill="1" applyBorder="1"/>
    <xf numFmtId="164" fontId="20" fillId="0" borderId="0" xfId="1" applyFont="1" applyFill="1" applyBorder="1"/>
    <xf numFmtId="165" fontId="20" fillId="0" borderId="0" xfId="125" applyFont="1" applyFill="1" applyBorder="1"/>
    <xf numFmtId="0" fontId="22" fillId="8" borderId="19" xfId="0" applyFont="1" applyFill="1" applyBorder="1" applyAlignment="1">
      <alignment horizontal="center" vertical="center"/>
    </xf>
    <xf numFmtId="164" fontId="22" fillId="8" borderId="18" xfId="1" applyFont="1" applyFill="1" applyBorder="1" applyAlignment="1">
      <alignment vertical="center" wrapText="1"/>
    </xf>
    <xf numFmtId="164" fontId="22" fillId="8" borderId="18" xfId="1"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vertical="center" wrapText="1"/>
    </xf>
    <xf numFmtId="164" fontId="4" fillId="0" borderId="1" xfId="1" applyFont="1" applyFill="1" applyBorder="1" applyAlignment="1">
      <alignment vertical="center"/>
    </xf>
    <xf numFmtId="165" fontId="20" fillId="0" borderId="0" xfId="125" applyFont="1" applyFill="1" applyBorder="1" applyAlignment="1">
      <alignment horizontal="right" vertical="center"/>
    </xf>
    <xf numFmtId="164" fontId="20" fillId="0" borderId="0" xfId="1" applyFont="1" applyFill="1" applyBorder="1" applyAlignment="1">
      <alignment horizontal="right" vertical="center"/>
    </xf>
    <xf numFmtId="165" fontId="23" fillId="0" borderId="0" xfId="125" applyFont="1" applyFill="1" applyBorder="1" applyAlignment="1">
      <alignment horizontal="right" vertical="center" wrapText="1"/>
    </xf>
    <xf numFmtId="0" fontId="20" fillId="0" borderId="0" xfId="0" applyFont="1" applyFill="1" applyBorder="1" applyAlignment="1">
      <alignment horizontal="right" vertical="center"/>
    </xf>
    <xf numFmtId="164" fontId="4" fillId="0" borderId="1" xfId="1" applyFont="1" applyFill="1" applyBorder="1"/>
    <xf numFmtId="0" fontId="21" fillId="0" borderId="1" xfId="0" applyFont="1" applyFill="1" applyBorder="1" applyAlignment="1">
      <alignment horizontal="left" vertical="center" wrapText="1"/>
    </xf>
    <xf numFmtId="164" fontId="24" fillId="0" borderId="1" xfId="1" applyFont="1" applyBorder="1"/>
    <xf numFmtId="165" fontId="23" fillId="0" borderId="0" xfId="125" applyFont="1" applyFill="1" applyBorder="1" applyAlignment="1">
      <alignment vertical="center" wrapText="1"/>
    </xf>
    <xf numFmtId="164" fontId="15" fillId="6" borderId="17" xfId="1" applyFont="1" applyFill="1" applyBorder="1" applyAlignment="1"/>
    <xf numFmtId="164" fontId="16" fillId="0" borderId="5" xfId="1" applyFont="1" applyFill="1" applyBorder="1" applyAlignment="1"/>
    <xf numFmtId="164" fontId="15" fillId="7" borderId="1" xfId="1" applyFont="1" applyFill="1" applyBorder="1" applyAlignment="1"/>
    <xf numFmtId="164" fontId="15" fillId="0" borderId="5" xfId="1" applyFont="1" applyFill="1" applyBorder="1" applyAlignment="1"/>
    <xf numFmtId="164" fontId="7" fillId="0" borderId="5" xfId="1" applyFont="1" applyFill="1" applyBorder="1" applyAlignment="1"/>
    <xf numFmtId="10" fontId="18" fillId="4" borderId="21" xfId="2" applyNumberFormat="1" applyFont="1" applyFill="1" applyBorder="1"/>
    <xf numFmtId="0" fontId="13" fillId="9" borderId="19" xfId="0" applyFont="1" applyFill="1" applyBorder="1" applyAlignment="1">
      <alignment horizontal="center" vertical="center" wrapText="1"/>
    </xf>
    <xf numFmtId="0" fontId="13" fillId="9" borderId="18" xfId="0" applyFont="1" applyFill="1" applyBorder="1" applyAlignment="1">
      <alignment horizontal="center" vertical="center" wrapText="1"/>
    </xf>
    <xf numFmtId="0" fontId="13" fillId="9" borderId="20" xfId="0" applyFont="1" applyFill="1" applyBorder="1" applyAlignment="1">
      <alignment horizontal="center" vertical="center" wrapText="1"/>
    </xf>
    <xf numFmtId="0" fontId="12" fillId="0" borderId="1" xfId="0" applyFont="1" applyFill="1" applyBorder="1"/>
    <xf numFmtId="164" fontId="12" fillId="0" borderId="1" xfId="0" applyNumberFormat="1" applyFont="1" applyBorder="1"/>
    <xf numFmtId="9" fontId="12" fillId="0" borderId="1" xfId="2" applyFont="1" applyBorder="1" applyAlignment="1">
      <alignment horizontal="center"/>
    </xf>
    <xf numFmtId="164" fontId="11" fillId="0" borderId="1" xfId="0" applyNumberFormat="1" applyFont="1" applyBorder="1"/>
    <xf numFmtId="9" fontId="11" fillId="0" borderId="1" xfId="2" applyFont="1" applyBorder="1" applyAlignment="1">
      <alignment horizontal="center"/>
    </xf>
    <xf numFmtId="164" fontId="0" fillId="0" borderId="0" xfId="1" applyFont="1" applyFill="1" applyBorder="1"/>
    <xf numFmtId="164" fontId="2" fillId="0" borderId="0" xfId="1" applyNumberFormat="1" applyFont="1" applyFill="1" applyBorder="1"/>
    <xf numFmtId="164" fontId="15" fillId="0" borderId="9" xfId="1" applyFont="1" applyFill="1" applyBorder="1" applyAlignment="1">
      <alignment horizontal="center"/>
    </xf>
    <xf numFmtId="164" fontId="18" fillId="4" borderId="15" xfId="1" applyFont="1" applyFill="1" applyBorder="1"/>
    <xf numFmtId="164" fontId="16" fillId="0" borderId="9" xfId="1" applyFont="1" applyFill="1" applyBorder="1"/>
    <xf numFmtId="164" fontId="15" fillId="0" borderId="9" xfId="1" applyFont="1" applyFill="1" applyBorder="1" applyAlignment="1">
      <alignment vertical="center"/>
    </xf>
    <xf numFmtId="164" fontId="7" fillId="0" borderId="9" xfId="1" applyFont="1" applyFill="1" applyBorder="1"/>
    <xf numFmtId="164" fontId="18" fillId="4" borderId="17" xfId="1" applyFont="1" applyFill="1" applyBorder="1"/>
    <xf numFmtId="165" fontId="0" fillId="0" borderId="3" xfId="0" applyNumberFormat="1" applyFill="1" applyBorder="1"/>
    <xf numFmtId="10" fontId="0" fillId="0" borderId="7" xfId="2" applyNumberFormat="1" applyFont="1" applyFill="1" applyBorder="1" applyAlignment="1">
      <alignment horizontal="right"/>
    </xf>
    <xf numFmtId="0" fontId="8" fillId="0" borderId="0" xfId="0" applyFont="1" applyAlignment="1">
      <alignment horizontal="center" vertical="center"/>
    </xf>
    <xf numFmtId="0" fontId="12" fillId="0" borderId="0" xfId="0" applyFont="1"/>
    <xf numFmtId="0" fontId="13" fillId="2" borderId="2" xfId="0" applyFont="1" applyFill="1" applyBorder="1" applyAlignment="1">
      <alignment horizontal="center" vertical="center"/>
    </xf>
    <xf numFmtId="0" fontId="13" fillId="2" borderId="2" xfId="0" applyFont="1" applyFill="1" applyBorder="1" applyAlignment="1">
      <alignment horizontal="center" vertical="center" wrapText="1"/>
    </xf>
    <xf numFmtId="164" fontId="9" fillId="0" borderId="0" xfId="1" applyFont="1" applyFill="1" applyBorder="1"/>
    <xf numFmtId="0" fontId="0" fillId="0" borderId="9" xfId="0" applyBorder="1"/>
    <xf numFmtId="0" fontId="11" fillId="6" borderId="2" xfId="0" applyFont="1" applyFill="1" applyBorder="1"/>
    <xf numFmtId="164" fontId="11" fillId="6" borderId="2" xfId="0" applyNumberFormat="1" applyFont="1" applyFill="1" applyBorder="1"/>
    <xf numFmtId="164" fontId="11" fillId="6" borderId="1" xfId="1" applyFont="1" applyFill="1" applyBorder="1"/>
    <xf numFmtId="10" fontId="11" fillId="6" borderId="1" xfId="2" applyNumberFormat="1" applyFont="1" applyFill="1" applyBorder="1" applyAlignment="1">
      <alignment horizontal="center"/>
    </xf>
    <xf numFmtId="0" fontId="12" fillId="0" borderId="8" xfId="0" applyFont="1" applyBorder="1" applyAlignment="1">
      <alignment horizontal="left"/>
    </xf>
    <xf numFmtId="10" fontId="12" fillId="0" borderId="9" xfId="2" applyNumberFormat="1" applyFont="1" applyBorder="1" applyAlignment="1">
      <alignment horizontal="center"/>
    </xf>
    <xf numFmtId="0" fontId="0" fillId="0" borderId="0" xfId="0" applyFont="1"/>
    <xf numFmtId="164" fontId="0" fillId="0" borderId="0" xfId="0" applyNumberFormat="1" applyFill="1"/>
    <xf numFmtId="0" fontId="11" fillId="0" borderId="13" xfId="0" applyFont="1" applyBorder="1"/>
    <xf numFmtId="164" fontId="11" fillId="0" borderId="14" xfId="1" applyFont="1" applyFill="1" applyBorder="1"/>
    <xf numFmtId="164" fontId="9" fillId="0" borderId="14" xfId="1" applyFont="1" applyFill="1" applyBorder="1"/>
    <xf numFmtId="10" fontId="12" fillId="0" borderId="11" xfId="0" applyNumberFormat="1" applyFont="1" applyBorder="1"/>
    <xf numFmtId="164" fontId="11" fillId="6" borderId="2" xfId="1" applyFont="1" applyFill="1" applyBorder="1"/>
    <xf numFmtId="10" fontId="12" fillId="0" borderId="9" xfId="2" applyNumberFormat="1" applyFont="1" applyFill="1" applyBorder="1" applyAlignment="1">
      <alignment horizontal="center"/>
    </xf>
    <xf numFmtId="0" fontId="13" fillId="2" borderId="2" xfId="0" applyFont="1" applyFill="1" applyBorder="1" applyAlignment="1">
      <alignment horizontal="left" vertical="center"/>
    </xf>
    <xf numFmtId="164" fontId="13" fillId="2" borderId="2" xfId="0" applyNumberFormat="1" applyFont="1" applyFill="1" applyBorder="1" applyAlignment="1">
      <alignment horizontal="left" vertical="center"/>
    </xf>
    <xf numFmtId="164" fontId="13" fillId="2" borderId="1" xfId="1" applyFont="1" applyFill="1" applyBorder="1" applyAlignment="1">
      <alignment horizontal="center" vertical="center"/>
    </xf>
    <xf numFmtId="10" fontId="13" fillId="2" borderId="1" xfId="2" applyNumberFormat="1" applyFont="1" applyFill="1" applyBorder="1" applyAlignment="1">
      <alignment horizontal="center" vertical="center"/>
    </xf>
    <xf numFmtId="0" fontId="12" fillId="0" borderId="0" xfId="0" applyFont="1" applyFill="1" applyBorder="1"/>
    <xf numFmtId="9" fontId="0" fillId="0" borderId="0" xfId="2" applyFont="1" applyFill="1"/>
    <xf numFmtId="0" fontId="0" fillId="0" borderId="0" xfId="0" applyFill="1" applyAlignment="1">
      <alignment horizontal="left"/>
    </xf>
    <xf numFmtId="164" fontId="0" fillId="0" borderId="0" xfId="1" applyFont="1" applyFill="1"/>
    <xf numFmtId="164" fontId="15" fillId="0" borderId="0" xfId="1" applyFont="1" applyAlignment="1">
      <alignment horizontal="center"/>
    </xf>
    <xf numFmtId="164" fontId="16" fillId="0" borderId="8" xfId="1" applyFont="1" applyFill="1" applyBorder="1" applyAlignment="1">
      <alignment horizontal="center"/>
    </xf>
    <xf numFmtId="164" fontId="15" fillId="6" borderId="15" xfId="1" applyFont="1" applyFill="1" applyBorder="1" applyAlignment="1">
      <alignment horizontal="center"/>
    </xf>
    <xf numFmtId="164" fontId="15" fillId="7" borderId="2" xfId="1" applyFont="1" applyFill="1" applyBorder="1" applyAlignment="1">
      <alignment horizontal="center"/>
    </xf>
    <xf numFmtId="164" fontId="15" fillId="0" borderId="8" xfId="1" applyFont="1" applyFill="1" applyBorder="1" applyAlignment="1">
      <alignment horizontal="center" vertical="center" wrapText="1"/>
    </xf>
    <xf numFmtId="164" fontId="15" fillId="0" borderId="8" xfId="1" applyFont="1" applyFill="1" applyBorder="1" applyAlignment="1">
      <alignment horizontal="center"/>
    </xf>
    <xf numFmtId="164" fontId="7" fillId="0" borderId="8" xfId="1" applyFont="1" applyFill="1" applyBorder="1" applyAlignment="1">
      <alignment horizontal="center"/>
    </xf>
    <xf numFmtId="164" fontId="15" fillId="0" borderId="5" xfId="1" applyFont="1" applyFill="1" applyBorder="1" applyAlignment="1">
      <alignment horizontal="center"/>
    </xf>
    <xf numFmtId="164" fontId="7" fillId="0" borderId="5" xfId="1" applyFont="1" applyFill="1" applyBorder="1" applyAlignment="1">
      <alignment horizontal="center"/>
    </xf>
    <xf numFmtId="164" fontId="16" fillId="0" borderId="5" xfId="1" applyFont="1" applyFill="1" applyBorder="1" applyAlignment="1">
      <alignment horizontal="center"/>
    </xf>
    <xf numFmtId="164" fontId="15" fillId="0" borderId="5" xfId="1" applyFont="1" applyFill="1" applyBorder="1" applyAlignment="1">
      <alignment horizontal="center" vertical="center" wrapText="1"/>
    </xf>
    <xf numFmtId="164" fontId="18" fillId="4" borderId="15" xfId="1" applyFont="1" applyFill="1" applyBorder="1" applyAlignment="1">
      <alignment horizontal="center"/>
    </xf>
    <xf numFmtId="164" fontId="7" fillId="0" borderId="0" xfId="1" applyFont="1" applyAlignment="1">
      <alignment horizontal="center"/>
    </xf>
    <xf numFmtId="164" fontId="16" fillId="0" borderId="0" xfId="1" applyFont="1" applyFill="1" applyBorder="1" applyAlignment="1">
      <alignment horizontal="center"/>
    </xf>
    <xf numFmtId="164" fontId="18" fillId="4" borderId="1" xfId="1" applyFont="1" applyFill="1" applyBorder="1" applyAlignment="1">
      <alignment horizontal="center" vertical="center" wrapText="1"/>
    </xf>
    <xf numFmtId="0" fontId="7" fillId="0" borderId="0" xfId="12" applyFont="1" applyFill="1" applyBorder="1" applyAlignment="1">
      <alignment vertical="center" wrapText="1"/>
    </xf>
    <xf numFmtId="164" fontId="7" fillId="0" borderId="8" xfId="1" applyFont="1" applyFill="1" applyBorder="1" applyAlignment="1">
      <alignment horizontal="center" vertical="center"/>
    </xf>
    <xf numFmtId="164" fontId="7" fillId="0" borderId="5" xfId="1" applyFont="1" applyFill="1" applyBorder="1" applyAlignment="1">
      <alignment vertical="center"/>
    </xf>
    <xf numFmtId="4" fontId="7" fillId="0" borderId="9" xfId="12" applyNumberFormat="1" applyFont="1" applyFill="1" applyBorder="1" applyAlignment="1">
      <alignment vertical="center"/>
    </xf>
    <xf numFmtId="164" fontId="16" fillId="0" borderId="8" xfId="1" applyFont="1" applyFill="1" applyBorder="1" applyAlignment="1"/>
    <xf numFmtId="164" fontId="15" fillId="0" borderId="8" xfId="1" applyFont="1" applyFill="1" applyBorder="1" applyAlignment="1">
      <alignment vertical="center" wrapText="1"/>
    </xf>
    <xf numFmtId="164" fontId="15" fillId="0" borderId="8" xfId="1" applyFont="1" applyFill="1" applyBorder="1" applyAlignment="1"/>
    <xf numFmtId="164" fontId="7" fillId="0" borderId="8" xfId="1" applyFont="1" applyFill="1" applyBorder="1" applyAlignment="1"/>
    <xf numFmtId="0" fontId="0" fillId="0" borderId="0" xfId="0" applyFont="1" applyFill="1"/>
    <xf numFmtId="164" fontId="0" fillId="0" borderId="0" xfId="0" applyNumberFormat="1" applyFont="1" applyFill="1"/>
    <xf numFmtId="0" fontId="2" fillId="5" borderId="1" xfId="0" applyFont="1" applyFill="1" applyBorder="1" applyAlignment="1">
      <alignment horizontal="left"/>
    </xf>
    <xf numFmtId="165" fontId="2" fillId="5" borderId="1" xfId="0" applyNumberFormat="1" applyFont="1" applyFill="1" applyBorder="1"/>
    <xf numFmtId="10" fontId="3" fillId="5" borderId="1" xfId="2" applyNumberFormat="1" applyFont="1" applyFill="1" applyBorder="1" applyAlignment="1">
      <alignment horizontal="right" vertical="center" wrapText="1"/>
    </xf>
    <xf numFmtId="43" fontId="0" fillId="0" borderId="0" xfId="0" applyNumberFormat="1" applyAlignment="1">
      <alignment vertical="center"/>
    </xf>
    <xf numFmtId="0" fontId="0" fillId="0" borderId="1" xfId="0" applyBorder="1" applyAlignment="1">
      <alignment horizontal="left" vertical="center"/>
    </xf>
    <xf numFmtId="0" fontId="0" fillId="0" borderId="1" xfId="0" applyBorder="1" applyAlignment="1">
      <alignment horizontal="center" vertical="center"/>
    </xf>
    <xf numFmtId="164" fontId="0" fillId="0" borderId="1" xfId="6" applyFont="1" applyFill="1" applyBorder="1" applyAlignment="1">
      <alignment vertical="center"/>
    </xf>
    <xf numFmtId="49" fontId="0" fillId="0" borderId="1" xfId="2" applyNumberFormat="1" applyFont="1" applyBorder="1" applyAlignment="1">
      <alignment horizontal="right" vertical="center"/>
    </xf>
    <xf numFmtId="0" fontId="0" fillId="0" borderId="1" xfId="0" applyBorder="1" applyAlignment="1">
      <alignment horizontal="left"/>
    </xf>
    <xf numFmtId="49" fontId="0" fillId="0" borderId="1" xfId="2" applyNumberFormat="1" applyFont="1" applyBorder="1" applyAlignment="1">
      <alignment horizontal="right"/>
    </xf>
    <xf numFmtId="164" fontId="0" fillId="0" borderId="1" xfId="6" applyFont="1" applyFill="1" applyBorder="1"/>
    <xf numFmtId="43" fontId="0" fillId="0" borderId="0" xfId="0" applyNumberFormat="1"/>
    <xf numFmtId="0" fontId="3" fillId="0" borderId="1" xfId="0" applyFont="1" applyFill="1" applyBorder="1" applyAlignment="1">
      <alignment horizontal="left"/>
    </xf>
    <xf numFmtId="164" fontId="0" fillId="0" borderId="1" xfId="6" applyFont="1" applyBorder="1"/>
    <xf numFmtId="164" fontId="3" fillId="0" borderId="1" xfId="6" applyFont="1" applyBorder="1"/>
    <xf numFmtId="164" fontId="0" fillId="0" borderId="0" xfId="6" applyFont="1"/>
    <xf numFmtId="164" fontId="0" fillId="0" borderId="1" xfId="6" applyFont="1" applyBorder="1" applyAlignment="1">
      <alignment vertical="center"/>
    </xf>
    <xf numFmtId="0" fontId="25" fillId="0" borderId="1" xfId="0" applyFont="1" applyFill="1" applyBorder="1" applyAlignment="1">
      <alignment horizontal="left"/>
    </xf>
    <xf numFmtId="164" fontId="3" fillId="0" borderId="1" xfId="0" applyNumberFormat="1" applyFont="1" applyFill="1" applyBorder="1"/>
    <xf numFmtId="164" fontId="3" fillId="0" borderId="1" xfId="0" applyNumberFormat="1" applyFont="1" applyBorder="1"/>
    <xf numFmtId="0" fontId="0" fillId="0" borderId="0" xfId="0" applyFill="1" applyBorder="1" applyAlignment="1">
      <alignment horizontal="left" vertical="center"/>
    </xf>
    <xf numFmtId="0" fontId="2" fillId="0" borderId="0" xfId="0" applyFont="1"/>
    <xf numFmtId="4" fontId="0" fillId="0" borderId="0" xfId="0" applyNumberFormat="1"/>
    <xf numFmtId="164" fontId="0" fillId="0" borderId="0" xfId="6" applyFont="1" applyFill="1" applyAlignment="1">
      <alignment vertical="center"/>
    </xf>
    <xf numFmtId="164" fontId="0" fillId="0" borderId="0" xfId="0" applyNumberFormat="1" applyFill="1" applyBorder="1"/>
    <xf numFmtId="164" fontId="0" fillId="0" borderId="0" xfId="6" applyFont="1" applyFill="1" applyBorder="1"/>
    <xf numFmtId="0" fontId="0" fillId="0" borderId="0" xfId="0" applyFill="1" applyBorder="1" applyAlignment="1">
      <alignment horizontal="center"/>
    </xf>
    <xf numFmtId="4" fontId="0" fillId="0" borderId="0" xfId="0" applyNumberFormat="1" applyFill="1" applyBorder="1"/>
    <xf numFmtId="0" fontId="2" fillId="10" borderId="0" xfId="0" applyFont="1" applyFill="1"/>
    <xf numFmtId="164" fontId="2" fillId="10" borderId="0" xfId="6" applyFont="1" applyFill="1"/>
    <xf numFmtId="0" fontId="2" fillId="11" borderId="0" xfId="0" applyFont="1" applyFill="1"/>
    <xf numFmtId="164" fontId="2" fillId="11" borderId="0" xfId="6" applyFont="1" applyFill="1"/>
    <xf numFmtId="43" fontId="0" fillId="0" borderId="0" xfId="117" applyFont="1" applyFill="1" applyBorder="1" applyAlignment="1">
      <alignment vertical="center"/>
    </xf>
    <xf numFmtId="0" fontId="0" fillId="0" borderId="0" xfId="0" applyFill="1" applyBorder="1" applyAlignment="1">
      <alignment vertical="center"/>
    </xf>
    <xf numFmtId="0" fontId="0" fillId="0" borderId="0" xfId="0" applyFill="1" applyBorder="1" applyAlignment="1"/>
    <xf numFmtId="43" fontId="0" fillId="0" borderId="0" xfId="117" applyFont="1" applyFill="1" applyBorder="1" applyAlignment="1"/>
    <xf numFmtId="43" fontId="0" fillId="0" borderId="0" xfId="0" applyNumberFormat="1" applyFill="1" applyBorder="1"/>
    <xf numFmtId="0" fontId="11" fillId="0" borderId="0" xfId="0" applyFont="1" applyBorder="1" applyAlignment="1">
      <alignment horizontal="center"/>
    </xf>
    <xf numFmtId="0" fontId="8" fillId="0" borderId="0" xfId="0" applyFont="1" applyBorder="1" applyAlignment="1">
      <alignment horizontal="center"/>
    </xf>
    <xf numFmtId="164" fontId="18" fillId="4" borderId="1" xfId="1" applyFont="1" applyFill="1" applyBorder="1" applyAlignment="1">
      <alignment horizontal="center" vertical="center" wrapText="1"/>
    </xf>
    <xf numFmtId="0" fontId="0" fillId="3" borderId="0" xfId="0" applyFill="1"/>
    <xf numFmtId="43" fontId="0" fillId="3" borderId="0" xfId="117" applyFont="1" applyFill="1" applyBorder="1" applyAlignment="1">
      <alignment horizontal="left" vertical="center"/>
    </xf>
    <xf numFmtId="10" fontId="7" fillId="0" borderId="9" xfId="2" applyNumberFormat="1" applyFont="1" applyFill="1" applyBorder="1" applyAlignment="1">
      <alignment vertical="center"/>
    </xf>
    <xf numFmtId="0" fontId="7" fillId="0" borderId="0" xfId="12" applyFont="1" applyFill="1"/>
    <xf numFmtId="4" fontId="7" fillId="0" borderId="0" xfId="12" applyNumberFormat="1" applyFont="1" applyFill="1"/>
    <xf numFmtId="164" fontId="26" fillId="2" borderId="18" xfId="1" applyFont="1" applyFill="1" applyBorder="1" applyAlignment="1">
      <alignment horizontal="center" vertical="center" wrapText="1"/>
    </xf>
    <xf numFmtId="164" fontId="26" fillId="2" borderId="18" xfId="1" applyFont="1" applyFill="1" applyBorder="1" applyAlignment="1">
      <alignment horizontal="center" vertical="center"/>
    </xf>
    <xf numFmtId="0" fontId="11" fillId="0" borderId="1" xfId="0" applyFont="1" applyFill="1" applyBorder="1"/>
    <xf numFmtId="0" fontId="27" fillId="13" borderId="0" xfId="0" applyFont="1" applyFill="1" applyBorder="1" applyAlignment="1">
      <alignment horizontal="left" vertical="top" wrapText="1"/>
    </xf>
    <xf numFmtId="0" fontId="28" fillId="13" borderId="0" xfId="0" applyFont="1" applyFill="1" applyAlignment="1">
      <alignment vertical="top"/>
    </xf>
    <xf numFmtId="0" fontId="29" fillId="13" borderId="0" xfId="0" applyFont="1" applyFill="1" applyAlignment="1">
      <alignment vertical="top" wrapText="1"/>
    </xf>
    <xf numFmtId="0" fontId="29" fillId="13" borderId="0" xfId="0" applyFont="1" applyFill="1" applyAlignment="1">
      <alignment vertical="top"/>
    </xf>
    <xf numFmtId="0" fontId="27" fillId="13" borderId="0" xfId="0" applyFont="1" applyFill="1" applyBorder="1" applyAlignment="1">
      <alignment horizontal="center" vertical="center" wrapText="1"/>
    </xf>
    <xf numFmtId="0" fontId="27" fillId="13" borderId="8" xfId="0" applyFont="1" applyFill="1" applyBorder="1" applyAlignment="1">
      <alignment horizontal="center" vertical="center" wrapText="1"/>
    </xf>
    <xf numFmtId="14" fontId="27" fillId="13" borderId="2" xfId="0" applyNumberFormat="1" applyFont="1" applyFill="1" applyBorder="1" applyAlignment="1">
      <alignment horizontal="center" vertical="center" wrapText="1"/>
    </xf>
    <xf numFmtId="0" fontId="27" fillId="13" borderId="2" xfId="0" applyFont="1" applyFill="1" applyBorder="1" applyAlignment="1">
      <alignment horizontal="center" vertical="center" wrapText="1"/>
    </xf>
    <xf numFmtId="0" fontId="29" fillId="13" borderId="0" xfId="0" applyFont="1" applyFill="1" applyAlignment="1">
      <alignment horizontal="center" vertical="center" wrapText="1"/>
    </xf>
    <xf numFmtId="0" fontId="29" fillId="13" borderId="0" xfId="0" applyFont="1" applyFill="1" applyAlignment="1">
      <alignment horizontal="left" vertical="center" wrapText="1"/>
    </xf>
    <xf numFmtId="0" fontId="29" fillId="13" borderId="0" xfId="0" applyFont="1" applyFill="1" applyAlignment="1">
      <alignment horizontal="center" vertical="center"/>
    </xf>
    <xf numFmtId="0" fontId="29" fillId="13" borderId="0" xfId="0" applyFont="1" applyFill="1" applyAlignment="1">
      <alignment vertical="center" wrapText="1"/>
    </xf>
    <xf numFmtId="0" fontId="30" fillId="14" borderId="23" xfId="0" applyFont="1" applyFill="1" applyBorder="1" applyAlignment="1">
      <alignment horizontal="center" vertical="center" wrapText="1"/>
    </xf>
    <xf numFmtId="0" fontId="31" fillId="15" borderId="23"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0" xfId="0" applyFont="1" applyFill="1" applyAlignment="1">
      <alignment horizontal="left" vertical="center" wrapText="1"/>
    </xf>
    <xf numFmtId="0" fontId="29" fillId="0" borderId="1" xfId="0" applyFont="1" applyFill="1" applyBorder="1" applyAlignment="1">
      <alignment horizontal="left" vertical="center" wrapText="1"/>
    </xf>
    <xf numFmtId="167" fontId="28" fillId="0" borderId="1" xfId="0" applyNumberFormat="1" applyFont="1" applyFill="1" applyBorder="1" applyAlignment="1">
      <alignment horizontal="center" vertical="center"/>
    </xf>
    <xf numFmtId="0" fontId="29" fillId="0" borderId="1" xfId="0" applyFont="1" applyFill="1" applyBorder="1" applyAlignment="1">
      <alignment vertical="center" wrapText="1"/>
    </xf>
    <xf numFmtId="0" fontId="28" fillId="0" borderId="1" xfId="0" applyFont="1" applyFill="1" applyBorder="1" applyAlignment="1">
      <alignment horizontal="center" vertical="center" wrapText="1"/>
    </xf>
    <xf numFmtId="0" fontId="28" fillId="0" borderId="1" xfId="0" applyFont="1" applyFill="1" applyBorder="1" applyAlignment="1">
      <alignment horizontal="left" vertical="center" wrapText="1"/>
    </xf>
    <xf numFmtId="0" fontId="29" fillId="0" borderId="0" xfId="0" applyFont="1" applyFill="1" applyAlignment="1">
      <alignment horizontal="left" vertical="top"/>
    </xf>
    <xf numFmtId="0" fontId="28" fillId="0" borderId="1" xfId="0" applyFont="1" applyFill="1" applyBorder="1" applyAlignment="1">
      <alignment vertical="center" wrapText="1"/>
    </xf>
    <xf numFmtId="0" fontId="28" fillId="0" borderId="1" xfId="0" applyFont="1" applyFill="1" applyBorder="1" applyAlignment="1">
      <alignment horizontal="center" vertical="center"/>
    </xf>
    <xf numFmtId="0" fontId="29" fillId="0" borderId="1" xfId="0" applyFont="1" applyFill="1" applyBorder="1" applyAlignment="1">
      <alignment horizontal="center" vertical="center"/>
    </xf>
    <xf numFmtId="0" fontId="29" fillId="0" borderId="0" xfId="0" applyFont="1" applyFill="1" applyAlignment="1">
      <alignment horizontal="left" vertical="top" wrapText="1"/>
    </xf>
    <xf numFmtId="167" fontId="29" fillId="0" borderId="1" xfId="0" applyNumberFormat="1" applyFont="1" applyFill="1" applyBorder="1" applyAlignment="1">
      <alignment horizontal="center" vertical="center"/>
    </xf>
    <xf numFmtId="0" fontId="29" fillId="0" borderId="1" xfId="0" applyFont="1" applyFill="1" applyBorder="1" applyAlignment="1">
      <alignment horizontal="left" vertical="top"/>
    </xf>
    <xf numFmtId="0" fontId="29" fillId="0" borderId="5" xfId="0" applyFont="1" applyFill="1" applyBorder="1" applyAlignment="1">
      <alignment horizontal="center" vertical="center" wrapText="1"/>
    </xf>
    <xf numFmtId="0" fontId="29" fillId="0" borderId="5" xfId="0" applyFont="1" applyFill="1" applyBorder="1" applyAlignment="1">
      <alignment horizontal="left" vertical="center" wrapText="1"/>
    </xf>
    <xf numFmtId="167" fontId="29" fillId="13" borderId="5" xfId="0" applyNumberFormat="1" applyFont="1" applyFill="1" applyBorder="1" applyAlignment="1">
      <alignment horizontal="center" vertical="center"/>
    </xf>
    <xf numFmtId="0" fontId="29" fillId="0" borderId="5" xfId="0" applyFont="1" applyFill="1" applyBorder="1" applyAlignment="1">
      <alignment vertical="center" wrapText="1"/>
    </xf>
    <xf numFmtId="0" fontId="28" fillId="0" borderId="5" xfId="0" applyFont="1" applyFill="1" applyBorder="1" applyAlignment="1">
      <alignment horizontal="center" vertical="center" wrapText="1"/>
    </xf>
    <xf numFmtId="0" fontId="28" fillId="0" borderId="5" xfId="0" applyFont="1" applyFill="1" applyBorder="1" applyAlignment="1">
      <alignment horizontal="left" vertical="center" wrapText="1"/>
    </xf>
    <xf numFmtId="0" fontId="29" fillId="0" borderId="0" xfId="0" applyFont="1" applyFill="1" applyBorder="1" applyAlignment="1">
      <alignment horizontal="center" vertical="center"/>
    </xf>
    <xf numFmtId="0" fontId="29" fillId="0" borderId="0" xfId="0" applyFont="1" applyFill="1" applyBorder="1" applyAlignment="1">
      <alignment vertical="top"/>
    </xf>
    <xf numFmtId="0" fontId="29" fillId="0" borderId="0" xfId="0" applyFont="1" applyFill="1" applyBorder="1" applyAlignment="1">
      <alignment horizontal="center" vertical="center" wrapText="1"/>
    </xf>
    <xf numFmtId="0" fontId="29" fillId="0" borderId="0" xfId="0" applyFont="1" applyFill="1" applyBorder="1" applyAlignment="1">
      <alignment horizontal="left" vertical="center" wrapText="1"/>
    </xf>
    <xf numFmtId="0" fontId="29" fillId="0" borderId="0" xfId="0" applyFont="1" applyFill="1" applyBorder="1" applyAlignment="1">
      <alignment vertical="center" wrapText="1"/>
    </xf>
    <xf numFmtId="0" fontId="28" fillId="0" borderId="0" xfId="0" applyFont="1" applyFill="1" applyBorder="1" applyAlignment="1">
      <alignment vertical="top"/>
    </xf>
    <xf numFmtId="0" fontId="29" fillId="0" borderId="0" xfId="0" applyFont="1" applyFill="1" applyBorder="1" applyAlignment="1">
      <alignment vertical="top" wrapText="1"/>
    </xf>
    <xf numFmtId="164" fontId="29" fillId="0" borderId="0" xfId="0" applyNumberFormat="1" applyFont="1" applyFill="1" applyBorder="1" applyAlignment="1">
      <alignment horizontal="right" vertical="center"/>
    </xf>
    <xf numFmtId="164" fontId="29" fillId="0" borderId="0" xfId="1" applyFont="1" applyFill="1" applyBorder="1" applyAlignment="1">
      <alignment horizontal="center" vertical="center"/>
    </xf>
    <xf numFmtId="0" fontId="29" fillId="0" borderId="0" xfId="0" applyFont="1" applyFill="1" applyBorder="1" applyAlignment="1">
      <alignment horizontal="left" vertical="center"/>
    </xf>
    <xf numFmtId="0" fontId="32" fillId="0" borderId="0" xfId="0" applyFont="1" applyFill="1" applyBorder="1" applyAlignment="1">
      <alignment horizontal="left" vertical="center" wrapText="1"/>
    </xf>
    <xf numFmtId="164" fontId="29" fillId="0" borderId="0" xfId="1" applyFont="1" applyFill="1" applyBorder="1" applyAlignment="1">
      <alignment vertical="center"/>
    </xf>
    <xf numFmtId="164" fontId="33" fillId="0" borderId="0" xfId="1" applyFont="1" applyFill="1" applyBorder="1" applyAlignment="1">
      <alignment vertical="center"/>
    </xf>
    <xf numFmtId="164" fontId="29" fillId="0" borderId="0" xfId="1" applyFont="1" applyFill="1" applyBorder="1" applyAlignment="1">
      <alignment horizontal="center" vertical="center" wrapText="1"/>
    </xf>
    <xf numFmtId="164" fontId="29" fillId="0" borderId="0" xfId="1" applyFont="1" applyFill="1" applyBorder="1" applyAlignment="1">
      <alignment vertical="center" wrapText="1"/>
    </xf>
    <xf numFmtId="167" fontId="29" fillId="0" borderId="0" xfId="0" applyNumberFormat="1" applyFont="1" applyFill="1" applyBorder="1" applyAlignment="1">
      <alignment horizontal="center" vertical="center"/>
    </xf>
    <xf numFmtId="165" fontId="29" fillId="0" borderId="0" xfId="0" applyNumberFormat="1" applyFont="1" applyFill="1" applyBorder="1" applyAlignment="1">
      <alignment vertical="center" wrapText="1"/>
    </xf>
    <xf numFmtId="4" fontId="29" fillId="0" borderId="0" xfId="0" applyNumberFormat="1" applyFont="1" applyFill="1" applyBorder="1" applyAlignment="1">
      <alignment horizontal="center" vertical="center"/>
    </xf>
    <xf numFmtId="164" fontId="29" fillId="0" borderId="0" xfId="1" applyFont="1" applyFill="1" applyBorder="1" applyAlignment="1">
      <alignment horizontal="left" vertical="center" wrapText="1"/>
    </xf>
    <xf numFmtId="165" fontId="29" fillId="0" borderId="0" xfId="0" applyNumberFormat="1" applyFont="1" applyFill="1" applyBorder="1" applyAlignment="1">
      <alignment horizontal="center" vertical="center"/>
    </xf>
    <xf numFmtId="0" fontId="33" fillId="0" borderId="0" xfId="0" applyFont="1" applyFill="1" applyBorder="1" applyAlignment="1">
      <alignment vertical="center" wrapText="1"/>
    </xf>
    <xf numFmtId="0" fontId="33" fillId="0" borderId="0" xfId="0" applyFont="1" applyFill="1" applyBorder="1" applyAlignment="1">
      <alignment horizontal="center" vertical="center"/>
    </xf>
    <xf numFmtId="164" fontId="29" fillId="0" borderId="0" xfId="0" applyNumberFormat="1" applyFont="1" applyFill="1" applyBorder="1" applyAlignment="1">
      <alignment vertical="center"/>
    </xf>
    <xf numFmtId="164" fontId="29" fillId="0" borderId="0" xfId="0" applyNumberFormat="1" applyFont="1" applyFill="1" applyBorder="1" applyAlignment="1">
      <alignment horizontal="left" vertical="center" wrapText="1"/>
    </xf>
    <xf numFmtId="0" fontId="29" fillId="0" borderId="0" xfId="0" applyFont="1" applyFill="1" applyBorder="1" applyAlignment="1">
      <alignment vertical="center"/>
    </xf>
    <xf numFmtId="165" fontId="29" fillId="0" borderId="0" xfId="0" applyNumberFormat="1" applyFont="1" applyFill="1" applyBorder="1" applyAlignment="1">
      <alignment vertical="center"/>
    </xf>
    <xf numFmtId="165" fontId="33" fillId="0" borderId="0" xfId="0" applyNumberFormat="1" applyFont="1" applyFill="1" applyBorder="1" applyAlignment="1">
      <alignment horizontal="center" vertical="center"/>
    </xf>
    <xf numFmtId="10" fontId="29" fillId="0" borderId="0" xfId="0" applyNumberFormat="1" applyFont="1" applyFill="1" applyBorder="1" applyAlignment="1">
      <alignment horizontal="left" vertical="center" wrapText="1"/>
    </xf>
    <xf numFmtId="43" fontId="29" fillId="0" borderId="0" xfId="0" applyNumberFormat="1" applyFont="1" applyFill="1" applyBorder="1" applyAlignment="1">
      <alignment horizontal="left" vertical="center" wrapText="1"/>
    </xf>
    <xf numFmtId="0" fontId="0" fillId="0" borderId="0" xfId="0" pivotButton="1"/>
    <xf numFmtId="0" fontId="0" fillId="0" borderId="0" xfId="0" applyAlignment="1">
      <alignment horizontal="left"/>
    </xf>
    <xf numFmtId="10" fontId="36" fillId="0" borderId="7" xfId="2" applyNumberFormat="1" applyFont="1" applyFill="1" applyBorder="1" applyAlignment="1">
      <alignment horizontal="center"/>
    </xf>
    <xf numFmtId="0" fontId="0" fillId="0" borderId="0" xfId="0" applyFont="1" applyAlignment="1">
      <alignment horizontal="center" vertical="center"/>
    </xf>
    <xf numFmtId="0" fontId="0" fillId="0" borderId="0" xfId="0" applyFont="1" applyAlignment="1">
      <alignment horizontal="center"/>
    </xf>
    <xf numFmtId="0" fontId="0" fillId="0" borderId="0" xfId="0" applyFont="1" applyAlignment="1">
      <alignment horizontal="left"/>
    </xf>
    <xf numFmtId="0" fontId="0" fillId="0" borderId="0" xfId="0" applyFont="1" applyAlignment="1">
      <alignment horizontal="center" vertical="center" wrapText="1"/>
    </xf>
    <xf numFmtId="0" fontId="0" fillId="0" borderId="0" xfId="125" applyNumberFormat="1" applyFont="1" applyAlignment="1">
      <alignment vertical="center"/>
    </xf>
    <xf numFmtId="165" fontId="0" fillId="0" borderId="0" xfId="125" applyFont="1" applyAlignment="1">
      <alignment vertical="center"/>
    </xf>
    <xf numFmtId="0" fontId="39" fillId="0" borderId="0" xfId="0" applyFont="1" applyAlignment="1">
      <alignment horizontal="left" vertical="center"/>
    </xf>
    <xf numFmtId="165" fontId="37" fillId="4" borderId="6" xfId="125" applyFont="1" applyFill="1" applyBorder="1" applyAlignment="1">
      <alignment horizontal="center" vertical="center" wrapText="1"/>
    </xf>
    <xf numFmtId="0" fontId="37" fillId="4" borderId="1" xfId="0" applyNumberFormat="1" applyFont="1" applyFill="1" applyBorder="1" applyAlignment="1">
      <alignment horizontal="center" vertical="center" wrapText="1"/>
    </xf>
    <xf numFmtId="4" fontId="37" fillId="4" borderId="1" xfId="0" applyNumberFormat="1" applyFont="1" applyFill="1" applyBorder="1" applyAlignment="1">
      <alignment horizontal="center" vertical="center" wrapText="1"/>
    </xf>
    <xf numFmtId="0" fontId="37" fillId="4" borderId="1" xfId="0" applyFont="1" applyFill="1" applyBorder="1" applyAlignment="1">
      <alignment horizontal="center" vertical="center" wrapText="1"/>
    </xf>
    <xf numFmtId="0" fontId="0" fillId="0" borderId="1" xfId="0" applyFont="1" applyFill="1" applyBorder="1" applyAlignment="1">
      <alignment horizontal="left" vertical="center"/>
    </xf>
    <xf numFmtId="0" fontId="40" fillId="0" borderId="1" xfId="0" applyFont="1" applyFill="1" applyBorder="1" applyAlignment="1">
      <alignment horizontal="left" vertical="center"/>
    </xf>
    <xf numFmtId="0" fontId="0" fillId="0" borderId="1" xfId="125" applyNumberFormat="1" applyFont="1" applyFill="1" applyBorder="1" applyAlignment="1">
      <alignment horizontal="left" vertical="center" wrapText="1"/>
    </xf>
    <xf numFmtId="0" fontId="40" fillId="0" borderId="2" xfId="125" applyNumberFormat="1" applyFont="1" applyFill="1" applyBorder="1" applyAlignment="1">
      <alignment horizontal="left" vertical="center" wrapText="1"/>
    </xf>
    <xf numFmtId="165" fontId="40" fillId="0" borderId="1" xfId="125" applyNumberFormat="1" applyFont="1" applyFill="1" applyBorder="1" applyAlignment="1">
      <alignment horizontal="left" vertical="center"/>
    </xf>
    <xf numFmtId="165" fontId="0" fillId="0" borderId="2" xfId="125" applyNumberFormat="1" applyFont="1" applyFill="1" applyBorder="1" applyAlignment="1">
      <alignment horizontal="left" vertical="center" wrapText="1"/>
    </xf>
    <xf numFmtId="0" fontId="0" fillId="0" borderId="0" xfId="0" applyFont="1" applyFill="1" applyAlignment="1">
      <alignment horizontal="left" vertical="center"/>
    </xf>
    <xf numFmtId="0" fontId="40"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0" fillId="0" borderId="1" xfId="0" applyFont="1" applyFill="1" applyBorder="1" applyAlignment="1">
      <alignment horizontal="center" vertical="center" wrapText="1"/>
    </xf>
    <xf numFmtId="0" fontId="2" fillId="0" borderId="2" xfId="0" applyNumberFormat="1" applyFont="1" applyFill="1" applyBorder="1" applyAlignment="1">
      <alignment horizontal="center" vertical="center"/>
    </xf>
    <xf numFmtId="165" fontId="2" fillId="0" borderId="1" xfId="0" applyNumberFormat="1" applyFont="1" applyFill="1" applyBorder="1" applyAlignment="1">
      <alignment horizontal="center" vertical="center"/>
    </xf>
    <xf numFmtId="0" fontId="2" fillId="0" borderId="24" xfId="0" applyFont="1" applyFill="1" applyBorder="1" applyAlignment="1">
      <alignment horizontal="center" vertical="center"/>
    </xf>
    <xf numFmtId="0" fontId="0" fillId="0" borderId="0" xfId="0" applyFont="1" applyFill="1" applyAlignment="1">
      <alignment horizontal="center" vertical="center"/>
    </xf>
    <xf numFmtId="165" fontId="37" fillId="4" borderId="1" xfId="125" applyFont="1" applyFill="1" applyBorder="1" applyAlignment="1">
      <alignment horizontal="center" vertical="center" wrapText="1"/>
    </xf>
    <xf numFmtId="4" fontId="37" fillId="4" borderId="25" xfId="0" applyNumberFormat="1" applyFont="1" applyFill="1" applyBorder="1" applyAlignment="1">
      <alignment horizontal="center" vertical="center" wrapText="1"/>
    </xf>
    <xf numFmtId="0" fontId="40" fillId="0" borderId="1" xfId="125" applyNumberFormat="1" applyFont="1" applyFill="1" applyBorder="1" applyAlignment="1">
      <alignment horizontal="left" vertical="center" wrapText="1"/>
    </xf>
    <xf numFmtId="165" fontId="0" fillId="0" borderId="1" xfId="125"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center"/>
    </xf>
    <xf numFmtId="0" fontId="3" fillId="0" borderId="1" xfId="0" applyFont="1" applyBorder="1" applyAlignment="1">
      <alignment horizontal="left"/>
    </xf>
    <xf numFmtId="0" fontId="3" fillId="0" borderId="1" xfId="0" applyFont="1" applyBorder="1" applyAlignment="1">
      <alignment horizontal="center" vertical="center" wrapText="1"/>
    </xf>
    <xf numFmtId="0" fontId="3" fillId="0" borderId="2" xfId="125" applyNumberFormat="1" applyFont="1" applyBorder="1" applyAlignment="1">
      <alignment vertical="center"/>
    </xf>
    <xf numFmtId="43" fontId="3" fillId="0" borderId="3" xfId="125" applyNumberFormat="1" applyFont="1" applyBorder="1" applyAlignment="1">
      <alignment vertical="center"/>
    </xf>
    <xf numFmtId="0" fontId="3" fillId="0" borderId="7" xfId="125" applyNumberFormat="1" applyFont="1" applyBorder="1" applyAlignment="1">
      <alignment vertical="center"/>
    </xf>
    <xf numFmtId="0" fontId="41" fillId="0" borderId="0" xfId="0" applyFont="1"/>
    <xf numFmtId="164" fontId="13" fillId="9" borderId="18" xfId="1" applyFont="1" applyFill="1" applyBorder="1" applyAlignment="1">
      <alignment horizontal="center" vertical="center" wrapText="1"/>
    </xf>
    <xf numFmtId="164" fontId="12" fillId="0" borderId="1" xfId="1" applyFont="1" applyFill="1" applyBorder="1"/>
    <xf numFmtId="164" fontId="11" fillId="0" borderId="1" xfId="1" applyFont="1" applyFill="1" applyBorder="1"/>
    <xf numFmtId="0" fontId="2" fillId="0" borderId="0" xfId="0" applyFont="1" applyFill="1" applyBorder="1"/>
    <xf numFmtId="4" fontId="0" fillId="0" borderId="0" xfId="0" applyNumberFormat="1" applyAlignment="1">
      <alignment vertical="center"/>
    </xf>
    <xf numFmtId="0" fontId="0" fillId="16" borderId="0" xfId="0" applyFont="1" applyFill="1"/>
    <xf numFmtId="164" fontId="0" fillId="16" borderId="0" xfId="6" applyFont="1" applyFill="1"/>
    <xf numFmtId="0" fontId="0" fillId="16" borderId="0" xfId="0" applyFont="1" applyFill="1" applyAlignment="1">
      <alignment vertical="center"/>
    </xf>
    <xf numFmtId="164" fontId="0" fillId="0" borderId="0" xfId="0" applyNumberFormat="1" applyFill="1" applyBorder="1" applyAlignment="1">
      <alignment horizontal="left" vertical="center" wrapText="1"/>
    </xf>
    <xf numFmtId="0" fontId="0" fillId="0" borderId="0" xfId="0" applyFont="1" applyAlignment="1">
      <alignment horizontal="left" vertical="center" wrapText="1"/>
    </xf>
    <xf numFmtId="0" fontId="40" fillId="0" borderId="0" xfId="0" applyFont="1" applyAlignment="1">
      <alignment vertical="center"/>
    </xf>
    <xf numFmtId="164" fontId="40" fillId="0" borderId="0" xfId="6" applyFont="1"/>
    <xf numFmtId="0" fontId="0" fillId="12" borderId="0" xfId="0" applyFont="1" applyFill="1" applyAlignment="1">
      <alignment vertical="center"/>
    </xf>
    <xf numFmtId="164" fontId="0" fillId="12" borderId="0" xfId="6" applyFont="1" applyFill="1"/>
    <xf numFmtId="0" fontId="2" fillId="0" borderId="0" xfId="0" applyFont="1" applyFill="1" applyBorder="1" applyAlignment="1">
      <alignment vertical="center" wrapText="1"/>
    </xf>
    <xf numFmtId="0" fontId="20" fillId="0" borderId="4" xfId="0" applyFont="1" applyFill="1" applyBorder="1" applyAlignment="1">
      <alignment vertical="center" wrapText="1"/>
    </xf>
    <xf numFmtId="164" fontId="18" fillId="4" borderId="1" xfId="1" applyFont="1" applyFill="1" applyBorder="1" applyAlignment="1">
      <alignment horizontal="center" vertical="center" wrapText="1"/>
    </xf>
    <xf numFmtId="0" fontId="27" fillId="13" borderId="0" xfId="0" applyFont="1" applyFill="1" applyBorder="1" applyAlignment="1">
      <alignment horizontal="left" vertical="center" wrapText="1"/>
    </xf>
    <xf numFmtId="0" fontId="11" fillId="0" borderId="0" xfId="0" applyFont="1" applyBorder="1" applyAlignment="1">
      <alignment horizontal="center"/>
    </xf>
    <xf numFmtId="0" fontId="8" fillId="0" borderId="0" xfId="0" applyFont="1" applyBorder="1" applyAlignment="1">
      <alignment horizontal="center"/>
    </xf>
    <xf numFmtId="0" fontId="0" fillId="0" borderId="0" xfId="0" applyAlignment="1">
      <alignment horizontal="left" vertical="center" wrapText="1"/>
    </xf>
    <xf numFmtId="0" fontId="0" fillId="0" borderId="0" xfId="0" applyFill="1" applyAlignment="1">
      <alignment horizontal="left" vertical="center" wrapText="1"/>
    </xf>
    <xf numFmtId="167" fontId="28" fillId="3" borderId="1" xfId="0" applyNumberFormat="1" applyFont="1" applyFill="1" applyBorder="1" applyAlignment="1">
      <alignment horizontal="center" vertical="center"/>
    </xf>
    <xf numFmtId="0" fontId="29" fillId="3" borderId="1" xfId="0" applyFont="1" applyFill="1" applyBorder="1" applyAlignment="1">
      <alignment vertical="center" wrapText="1"/>
    </xf>
    <xf numFmtId="164" fontId="40" fillId="0" borderId="1" xfId="1" applyFont="1" applyFill="1" applyBorder="1" applyAlignment="1">
      <alignment horizontal="left" vertical="center" wrapText="1"/>
    </xf>
    <xf numFmtId="165" fontId="40" fillId="0" borderId="1" xfId="1" applyNumberFormat="1" applyFont="1" applyFill="1" applyBorder="1" applyAlignment="1">
      <alignment horizontal="center" vertical="center"/>
    </xf>
    <xf numFmtId="43" fontId="0" fillId="0" borderId="0" xfId="117" applyFont="1"/>
    <xf numFmtId="49" fontId="0" fillId="0" borderId="0" xfId="2" applyNumberFormat="1" applyFont="1" applyBorder="1" applyAlignment="1">
      <alignment horizontal="right"/>
    </xf>
    <xf numFmtId="0" fontId="0" fillId="0" borderId="0" xfId="0" applyAlignment="1">
      <alignment vertical="center" wrapText="1"/>
    </xf>
    <xf numFmtId="0" fontId="0" fillId="0" borderId="0" xfId="0" applyFill="1" applyAlignment="1">
      <alignment vertical="center" wrapText="1"/>
    </xf>
    <xf numFmtId="164" fontId="0" fillId="0" borderId="0" xfId="17" applyFont="1" applyFill="1" applyBorder="1" applyAlignment="1">
      <alignment horizontal="left" vertical="center"/>
    </xf>
    <xf numFmtId="43" fontId="0" fillId="0" borderId="0" xfId="117" applyFont="1" applyFill="1" applyBorder="1" applyAlignment="1">
      <alignment horizontal="left" vertical="center"/>
    </xf>
    <xf numFmtId="43" fontId="0" fillId="0" borderId="0" xfId="117" applyFont="1" applyFill="1" applyBorder="1"/>
    <xf numFmtId="164" fontId="40" fillId="16" borderId="0" xfId="6" applyFont="1" applyFill="1" applyAlignment="1">
      <alignment vertical="center"/>
    </xf>
    <xf numFmtId="164" fontId="40" fillId="0" borderId="0" xfId="6" applyFont="1" applyFill="1" applyAlignment="1">
      <alignment vertical="center"/>
    </xf>
    <xf numFmtId="164" fontId="0" fillId="0" borderId="0" xfId="0" applyNumberFormat="1" applyFill="1" applyBorder="1" applyAlignment="1">
      <alignment horizontal="left" vertical="center"/>
    </xf>
    <xf numFmtId="43" fontId="2" fillId="0" borderId="0" xfId="0" applyNumberFormat="1" applyFont="1" applyFill="1" applyAlignment="1">
      <alignment vertical="center"/>
    </xf>
    <xf numFmtId="164" fontId="2" fillId="0" borderId="0" xfId="6" applyFont="1" applyFill="1" applyAlignment="1">
      <alignment vertical="center"/>
    </xf>
    <xf numFmtId="43" fontId="0" fillId="0" borderId="0" xfId="117" applyFont="1" applyFill="1"/>
    <xf numFmtId="0" fontId="26" fillId="2" borderId="19" xfId="0" applyFont="1" applyFill="1" applyBorder="1" applyAlignment="1">
      <alignment horizontal="center" vertical="center"/>
    </xf>
    <xf numFmtId="0" fontId="26" fillId="2" borderId="18" xfId="0" applyFont="1" applyFill="1" applyBorder="1" applyAlignment="1">
      <alignment horizontal="center" vertical="center" wrapText="1"/>
    </xf>
    <xf numFmtId="164" fontId="26" fillId="2" borderId="20" xfId="1" applyFont="1" applyFill="1" applyBorder="1" applyAlignment="1">
      <alignment horizontal="center" vertical="center" wrapText="1"/>
    </xf>
    <xf numFmtId="0" fontId="36" fillId="0" borderId="0" xfId="0" applyFont="1" applyBorder="1" applyAlignment="1">
      <alignment horizontal="center"/>
    </xf>
    <xf numFmtId="0" fontId="36" fillId="0" borderId="0" xfId="0" applyFont="1" applyFill="1" applyBorder="1" applyAlignment="1">
      <alignment horizontal="center"/>
    </xf>
    <xf numFmtId="164" fontId="44" fillId="0" borderId="0" xfId="1" applyFont="1"/>
    <xf numFmtId="0" fontId="44" fillId="0" borderId="0" xfId="0" applyFont="1"/>
    <xf numFmtId="0" fontId="24" fillId="6" borderId="8" xfId="0" applyFont="1" applyFill="1" applyBorder="1" applyAlignment="1">
      <alignment horizontal="center" vertical="center"/>
    </xf>
    <xf numFmtId="164" fontId="24" fillId="6" borderId="0" xfId="1" applyFont="1" applyFill="1" applyBorder="1" applyAlignment="1">
      <alignment horizontal="center" vertical="center"/>
    </xf>
    <xf numFmtId="10" fontId="24" fillId="6" borderId="9" xfId="2" applyNumberFormat="1" applyFont="1" applyFill="1" applyBorder="1" applyAlignment="1">
      <alignment horizontal="center" vertical="center"/>
    </xf>
    <xf numFmtId="0" fontId="45" fillId="0" borderId="8" xfId="0" applyFont="1" applyBorder="1"/>
    <xf numFmtId="164" fontId="45" fillId="0" borderId="0" xfId="1" applyFont="1" applyBorder="1"/>
    <xf numFmtId="10" fontId="45" fillId="0" borderId="9" xfId="2" applyNumberFormat="1" applyFont="1" applyFill="1" applyBorder="1" applyAlignment="1">
      <alignment horizontal="center"/>
    </xf>
    <xf numFmtId="164" fontId="45" fillId="0" borderId="0" xfId="1" applyFont="1" applyFill="1" applyBorder="1"/>
    <xf numFmtId="10" fontId="45" fillId="0" borderId="9" xfId="1" applyNumberFormat="1" applyFont="1" applyFill="1" applyBorder="1"/>
    <xf numFmtId="164" fontId="44" fillId="0" borderId="0" xfId="0" applyNumberFormat="1" applyFont="1"/>
    <xf numFmtId="0" fontId="36" fillId="0" borderId="8" xfId="0" applyFont="1" applyBorder="1"/>
    <xf numFmtId="164" fontId="36" fillId="0" borderId="0" xfId="1" applyFont="1" applyBorder="1"/>
    <xf numFmtId="0" fontId="36" fillId="0" borderId="0" xfId="0" applyFont="1" applyBorder="1"/>
    <xf numFmtId="164" fontId="36" fillId="0" borderId="0" xfId="1" applyFont="1" applyFill="1" applyBorder="1"/>
    <xf numFmtId="0" fontId="26" fillId="2" borderId="8" xfId="0" applyFont="1" applyFill="1" applyBorder="1" applyAlignment="1">
      <alignment horizontal="left" vertical="center"/>
    </xf>
    <xf numFmtId="164" fontId="26" fillId="2" borderId="0" xfId="1" applyFont="1" applyFill="1" applyBorder="1" applyAlignment="1">
      <alignment horizontal="left" vertical="center"/>
    </xf>
    <xf numFmtId="0" fontId="26" fillId="2" borderId="0" xfId="0" applyFont="1" applyFill="1" applyBorder="1" applyAlignment="1">
      <alignment horizontal="left" vertical="center"/>
    </xf>
    <xf numFmtId="164" fontId="26" fillId="2" borderId="0" xfId="1" applyFont="1" applyFill="1" applyBorder="1" applyAlignment="1">
      <alignment horizontal="center" vertical="center"/>
    </xf>
    <xf numFmtId="10" fontId="26" fillId="2" borderId="9" xfId="0" applyNumberFormat="1" applyFont="1" applyFill="1" applyBorder="1" applyAlignment="1">
      <alignment horizontal="left" vertical="center"/>
    </xf>
    <xf numFmtId="164" fontId="24" fillId="6" borderId="0" xfId="0" applyNumberFormat="1" applyFont="1" applyFill="1" applyBorder="1" applyAlignment="1">
      <alignment horizontal="center" vertical="center"/>
    </xf>
    <xf numFmtId="0" fontId="36" fillId="0" borderId="2" xfId="0" applyFont="1" applyBorder="1"/>
    <xf numFmtId="164" fontId="36" fillId="0" borderId="3" xfId="1" applyFont="1" applyBorder="1"/>
    <xf numFmtId="0" fontId="36" fillId="0" borderId="0" xfId="0" applyFont="1" applyFill="1" applyBorder="1"/>
    <xf numFmtId="164" fontId="44" fillId="0" borderId="0" xfId="1" applyFont="1" applyBorder="1"/>
    <xf numFmtId="0" fontId="44" fillId="0" borderId="0" xfId="0" applyFont="1" applyFill="1" applyBorder="1"/>
    <xf numFmtId="0" fontId="44" fillId="0" borderId="0" xfId="0" applyFont="1" applyBorder="1"/>
    <xf numFmtId="0" fontId="44" fillId="0" borderId="0" xfId="0" applyFont="1" applyFill="1"/>
    <xf numFmtId="0" fontId="0" fillId="0" borderId="0" xfId="0" applyNumberFormat="1"/>
    <xf numFmtId="164" fontId="7" fillId="7" borderId="8" xfId="1" applyFont="1" applyFill="1" applyBorder="1" applyAlignment="1">
      <alignment horizontal="center"/>
    </xf>
    <xf numFmtId="10" fontId="29" fillId="0" borderId="0" xfId="2" applyNumberFormat="1" applyFont="1" applyFill="1" applyBorder="1" applyAlignment="1">
      <alignment horizontal="right" vertical="center"/>
    </xf>
    <xf numFmtId="0" fontId="0" fillId="0" borderId="0" xfId="0" applyNumberFormat="1" applyFill="1"/>
    <xf numFmtId="0" fontId="0" fillId="0" borderId="0" xfId="0" applyFill="1" applyAlignment="1">
      <alignment vertical="center"/>
    </xf>
    <xf numFmtId="43" fontId="0" fillId="0" borderId="0" xfId="0" applyNumberFormat="1" applyFill="1" applyAlignment="1">
      <alignment vertical="center"/>
    </xf>
    <xf numFmtId="43" fontId="0" fillId="0" borderId="0" xfId="0" applyNumberFormat="1" applyFill="1"/>
    <xf numFmtId="164" fontId="0" fillId="0" borderId="0" xfId="1" applyFont="1" applyFill="1" applyAlignment="1">
      <alignment vertical="center"/>
    </xf>
    <xf numFmtId="0" fontId="0" fillId="0" borderId="2" xfId="0" applyFill="1" applyBorder="1" applyAlignment="1">
      <alignment horizontal="left" indent="2"/>
    </xf>
    <xf numFmtId="43" fontId="7" fillId="0" borderId="0" xfId="12" applyNumberFormat="1" applyFont="1" applyAlignment="1">
      <alignment vertical="center"/>
    </xf>
    <xf numFmtId="43" fontId="0" fillId="0" borderId="0" xfId="0" applyNumberFormat="1" applyFill="1" applyBorder="1" applyAlignment="1">
      <alignment horizontal="left" vertical="center"/>
    </xf>
    <xf numFmtId="43" fontId="0" fillId="0" borderId="0" xfId="117" applyFont="1" applyBorder="1"/>
    <xf numFmtId="0" fontId="2" fillId="0" borderId="0" xfId="0" applyFont="1" applyBorder="1" applyAlignment="1">
      <alignment horizontal="center"/>
    </xf>
    <xf numFmtId="43" fontId="2" fillId="0" borderId="0" xfId="117" applyFont="1" applyBorder="1" applyAlignment="1">
      <alignment horizontal="center"/>
    </xf>
    <xf numFmtId="0" fontId="42" fillId="0" borderId="0" xfId="0" applyFont="1" applyFill="1" applyBorder="1" applyAlignment="1">
      <alignment horizontal="left" vertical="center" wrapText="1"/>
    </xf>
    <xf numFmtId="0" fontId="0" fillId="0" borderId="0" xfId="0" applyBorder="1" applyAlignment="1">
      <alignment vertical="center" wrapText="1"/>
    </xf>
    <xf numFmtId="43" fontId="0" fillId="0" borderId="0" xfId="0" applyNumberFormat="1" applyBorder="1" applyAlignment="1">
      <alignment vertical="center" wrapText="1"/>
    </xf>
    <xf numFmtId="0" fontId="0" fillId="0" borderId="0" xfId="0" applyFill="1" applyBorder="1" applyAlignment="1">
      <alignment vertical="center" wrapText="1"/>
    </xf>
    <xf numFmtId="0" fontId="43" fillId="0" borderId="0" xfId="0" applyFont="1" applyFill="1" applyBorder="1" applyAlignment="1">
      <alignment vertical="center" wrapText="1"/>
    </xf>
    <xf numFmtId="43" fontId="43" fillId="0" borderId="0" xfId="0" applyNumberFormat="1" applyFont="1" applyFill="1" applyBorder="1" applyAlignment="1">
      <alignment vertical="center" wrapText="1"/>
    </xf>
    <xf numFmtId="4" fontId="0" fillId="0" borderId="0" xfId="0" applyNumberFormat="1" applyBorder="1"/>
    <xf numFmtId="4" fontId="0" fillId="0" borderId="0" xfId="0" applyNumberFormat="1" applyBorder="1" applyAlignment="1">
      <alignment vertical="center"/>
    </xf>
    <xf numFmtId="0" fontId="27" fillId="13" borderId="4" xfId="0" applyFont="1" applyFill="1" applyBorder="1" applyAlignment="1">
      <alignment horizontal="center" vertical="center" wrapText="1"/>
    </xf>
    <xf numFmtId="0" fontId="27" fillId="13" borderId="5" xfId="0" applyFont="1" applyFill="1" applyBorder="1" applyAlignment="1">
      <alignment horizontal="center" vertical="center" wrapText="1"/>
    </xf>
    <xf numFmtId="0" fontId="27" fillId="13" borderId="6" xfId="0" applyFont="1" applyFill="1" applyBorder="1" applyAlignment="1">
      <alignment horizontal="center" vertical="center" wrapText="1"/>
    </xf>
    <xf numFmtId="0" fontId="27" fillId="13" borderId="19" xfId="0" applyFont="1" applyFill="1" applyBorder="1" applyAlignment="1">
      <alignment horizontal="left" vertical="center" wrapText="1"/>
    </xf>
    <xf numFmtId="0" fontId="27" fillId="13" borderId="18" xfId="0" applyFont="1" applyFill="1" applyBorder="1" applyAlignment="1">
      <alignment horizontal="left" vertical="center" wrapText="1"/>
    </xf>
    <xf numFmtId="0" fontId="27" fillId="13" borderId="20" xfId="0" applyFont="1" applyFill="1" applyBorder="1" applyAlignment="1">
      <alignment horizontal="left" vertical="center" wrapText="1"/>
    </xf>
    <xf numFmtId="0" fontId="27" fillId="13" borderId="8" xfId="0" applyFont="1" applyFill="1" applyBorder="1" applyAlignment="1">
      <alignment horizontal="left" vertical="center" wrapText="1"/>
    </xf>
    <xf numFmtId="0" fontId="27" fillId="13" borderId="0" xfId="0" applyFont="1" applyFill="1" applyBorder="1" applyAlignment="1">
      <alignment horizontal="left" vertical="center" wrapText="1"/>
    </xf>
    <xf numFmtId="0" fontId="27" fillId="13" borderId="9" xfId="0" applyFont="1" applyFill="1" applyBorder="1" applyAlignment="1">
      <alignment horizontal="left" vertical="center" wrapText="1"/>
    </xf>
    <xf numFmtId="0" fontId="27" fillId="13" borderId="13" xfId="0" applyFont="1" applyFill="1" applyBorder="1" applyAlignment="1">
      <alignment horizontal="left" vertical="center" wrapText="1"/>
    </xf>
    <xf numFmtId="0" fontId="27" fillId="13" borderId="14" xfId="0" applyFont="1" applyFill="1" applyBorder="1" applyAlignment="1">
      <alignment horizontal="left" vertical="center" wrapText="1"/>
    </xf>
    <xf numFmtId="0" fontId="27" fillId="13" borderId="11" xfId="0" applyFont="1" applyFill="1" applyBorder="1" applyAlignment="1">
      <alignment horizontal="left" vertical="center" wrapText="1"/>
    </xf>
    <xf numFmtId="0" fontId="36" fillId="0" borderId="0" xfId="0" applyFont="1" applyBorder="1" applyAlignment="1">
      <alignment horizontal="center"/>
    </xf>
    <xf numFmtId="0" fontId="45" fillId="0" borderId="18" xfId="0" applyFont="1" applyFill="1" applyBorder="1" applyAlignment="1">
      <alignment horizontal="left" wrapText="1"/>
    </xf>
    <xf numFmtId="0" fontId="8" fillId="0" borderId="0" xfId="0" applyFont="1" applyAlignment="1">
      <alignment horizontal="center" vertical="center"/>
    </xf>
    <xf numFmtId="0" fontId="7" fillId="0" borderId="22" xfId="12" applyFont="1" applyBorder="1" applyAlignment="1">
      <alignment horizontal="left" wrapText="1"/>
    </xf>
    <xf numFmtId="164" fontId="18" fillId="4" borderId="19" xfId="1" applyFont="1" applyFill="1" applyBorder="1" applyAlignment="1">
      <alignment horizontal="center" vertical="center" wrapText="1"/>
    </xf>
    <xf numFmtId="164" fontId="18" fillId="4" borderId="18" xfId="1" applyFont="1" applyFill="1" applyBorder="1" applyAlignment="1">
      <alignment horizontal="center" vertical="center" wrapText="1"/>
    </xf>
    <xf numFmtId="164" fontId="18" fillId="4" borderId="20" xfId="1" applyFont="1" applyFill="1" applyBorder="1" applyAlignment="1">
      <alignment horizontal="center" vertical="center" wrapText="1"/>
    </xf>
    <xf numFmtId="0" fontId="19" fillId="4" borderId="19" xfId="12" applyFont="1" applyFill="1" applyBorder="1" applyAlignment="1">
      <alignment horizontal="center" vertical="center"/>
    </xf>
    <xf numFmtId="0" fontId="19" fillId="4" borderId="8" xfId="12" applyFont="1" applyFill="1" applyBorder="1" applyAlignment="1">
      <alignment horizontal="center" vertical="center"/>
    </xf>
    <xf numFmtId="0" fontId="18" fillId="4" borderId="20" xfId="12" applyFont="1" applyFill="1" applyBorder="1" applyAlignment="1">
      <alignment horizontal="center" vertical="center"/>
    </xf>
    <xf numFmtId="0" fontId="18" fillId="4" borderId="9" xfId="12" applyFont="1" applyFill="1" applyBorder="1" applyAlignment="1">
      <alignment horizontal="center" vertical="center"/>
    </xf>
    <xf numFmtId="164" fontId="18" fillId="4" borderId="4" xfId="1" applyFont="1" applyFill="1" applyBorder="1" applyAlignment="1">
      <alignment horizontal="center" vertical="center" wrapText="1"/>
    </xf>
    <xf numFmtId="164" fontId="18" fillId="4" borderId="5" xfId="1" applyFont="1" applyFill="1" applyBorder="1" applyAlignment="1">
      <alignment horizontal="center" vertical="center" wrapText="1"/>
    </xf>
    <xf numFmtId="164" fontId="18" fillId="4" borderId="6" xfId="1" applyFont="1" applyFill="1" applyBorder="1" applyAlignment="1">
      <alignment horizontal="center" vertical="center" wrapText="1"/>
    </xf>
    <xf numFmtId="164" fontId="18" fillId="4" borderId="1" xfId="1" applyFont="1" applyFill="1" applyBorder="1" applyAlignment="1">
      <alignment horizontal="center" vertical="center" wrapText="1"/>
    </xf>
    <xf numFmtId="0" fontId="18" fillId="4" borderId="4" xfId="12" applyFont="1" applyFill="1" applyBorder="1" applyAlignment="1">
      <alignment horizontal="center" vertical="center" wrapText="1"/>
    </xf>
    <xf numFmtId="0" fontId="18" fillId="4" borderId="5" xfId="12" applyFont="1" applyFill="1" applyBorder="1" applyAlignment="1">
      <alignment horizontal="center" vertical="center" wrapText="1"/>
    </xf>
    <xf numFmtId="0" fontId="8" fillId="0" borderId="0" xfId="0" applyFont="1" applyBorder="1" applyAlignment="1">
      <alignment horizontal="center"/>
    </xf>
    <xf numFmtId="0" fontId="11" fillId="0" borderId="0" xfId="0" applyFont="1" applyBorder="1" applyAlignment="1">
      <alignment horizontal="center"/>
    </xf>
    <xf numFmtId="0" fontId="12" fillId="0" borderId="18" xfId="0" applyFont="1" applyFill="1" applyBorder="1" applyAlignment="1">
      <alignment horizontal="left" wrapText="1"/>
    </xf>
    <xf numFmtId="0" fontId="0" fillId="0" borderId="0" xfId="0" applyFill="1" applyBorder="1" applyAlignment="1">
      <alignment horizontal="left" wrapText="1"/>
    </xf>
    <xf numFmtId="0" fontId="38" fillId="0" borderId="0" xfId="0" applyFont="1" applyAlignment="1">
      <alignment horizontal="center" wrapText="1"/>
    </xf>
    <xf numFmtId="0" fontId="3" fillId="0" borderId="0" xfId="0" applyFont="1" applyAlignment="1">
      <alignment horizontal="center"/>
    </xf>
    <xf numFmtId="0" fontId="0" fillId="0" borderId="0" xfId="0" applyFill="1" applyBorder="1" applyAlignment="1">
      <alignment horizontal="left" vertical="center" wrapText="1"/>
    </xf>
    <xf numFmtId="0" fontId="2" fillId="0" borderId="0" xfId="0" applyFont="1" applyAlignment="1">
      <alignment horizontal="center"/>
    </xf>
    <xf numFmtId="0" fontId="2" fillId="0" borderId="0" xfId="0" applyFont="1" applyBorder="1" applyAlignment="1">
      <alignment horizontal="center"/>
    </xf>
    <xf numFmtId="43" fontId="0" fillId="0" borderId="0" xfId="117" applyFont="1" applyBorder="1" applyAlignment="1">
      <alignment horizontal="center" vertical="center" wrapText="1"/>
    </xf>
    <xf numFmtId="0" fontId="2" fillId="0" borderId="0" xfId="0" applyFont="1" applyFill="1" applyBorder="1" applyAlignment="1">
      <alignment horizontal="center"/>
    </xf>
    <xf numFmtId="0" fontId="21" fillId="0" borderId="0" xfId="0" applyFont="1" applyFill="1" applyBorder="1" applyAlignment="1">
      <alignment horizontal="center" vertical="center"/>
    </xf>
    <xf numFmtId="0" fontId="21" fillId="0" borderId="0" xfId="0" applyFont="1" applyFill="1" applyBorder="1" applyAlignment="1">
      <alignment horizontal="left" vertical="center"/>
    </xf>
    <xf numFmtId="0" fontId="20" fillId="0" borderId="4"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5" xfId="0" applyFont="1" applyFill="1" applyBorder="1" applyAlignment="1">
      <alignment horizontal="left" vertical="center" wrapText="1"/>
    </xf>
  </cellXfs>
  <cellStyles count="126">
    <cellStyle name="Millares" xfId="1" builtinId="3"/>
    <cellStyle name="Millares 10" xfId="119" xr:uid="{00000000-0005-0000-0000-000001000000}"/>
    <cellStyle name="Millares 11" xfId="120" xr:uid="{00000000-0005-0000-0000-000002000000}"/>
    <cellStyle name="Millares 12" xfId="122" xr:uid="{00000000-0005-0000-0000-000003000000}"/>
    <cellStyle name="Millares 12 2" xfId="124" xr:uid="{00000000-0005-0000-0000-000004000000}"/>
    <cellStyle name="Millares 2" xfId="5" xr:uid="{00000000-0005-0000-0000-000005000000}"/>
    <cellStyle name="Millares 2 2" xfId="34" xr:uid="{00000000-0005-0000-0000-000006000000}"/>
    <cellStyle name="Millares 2 2 2" xfId="44" xr:uid="{00000000-0005-0000-0000-000007000000}"/>
    <cellStyle name="Millares 2 2 2 2" xfId="72" xr:uid="{00000000-0005-0000-0000-000008000000}"/>
    <cellStyle name="Millares 2 2 2 3" xfId="100" xr:uid="{00000000-0005-0000-0000-000009000000}"/>
    <cellStyle name="Millares 2 2 3" xfId="53" xr:uid="{00000000-0005-0000-0000-00000A000000}"/>
    <cellStyle name="Millares 2 2 3 2" xfId="81" xr:uid="{00000000-0005-0000-0000-00000B000000}"/>
    <cellStyle name="Millares 2 2 3 3" xfId="109" xr:uid="{00000000-0005-0000-0000-00000C000000}"/>
    <cellStyle name="Millares 2 2 4" xfId="61" xr:uid="{00000000-0005-0000-0000-00000D000000}"/>
    <cellStyle name="Millares 2 2 5" xfId="89" xr:uid="{00000000-0005-0000-0000-00000E000000}"/>
    <cellStyle name="Millares 2 3" xfId="36" xr:uid="{00000000-0005-0000-0000-00000F000000}"/>
    <cellStyle name="Millares 2 3 2" xfId="46" xr:uid="{00000000-0005-0000-0000-000010000000}"/>
    <cellStyle name="Millares 2 3 2 2" xfId="74" xr:uid="{00000000-0005-0000-0000-000011000000}"/>
    <cellStyle name="Millares 2 3 2 3" xfId="102" xr:uid="{00000000-0005-0000-0000-000012000000}"/>
    <cellStyle name="Millares 2 3 3" xfId="55" xr:uid="{00000000-0005-0000-0000-000013000000}"/>
    <cellStyle name="Millares 2 3 3 2" xfId="83" xr:uid="{00000000-0005-0000-0000-000014000000}"/>
    <cellStyle name="Millares 2 3 3 3" xfId="111" xr:uid="{00000000-0005-0000-0000-000015000000}"/>
    <cellStyle name="Millares 2 3 4" xfId="65" xr:uid="{00000000-0005-0000-0000-000016000000}"/>
    <cellStyle name="Millares 2 3 5" xfId="93" xr:uid="{00000000-0005-0000-0000-000017000000}"/>
    <cellStyle name="Millares 2 4" xfId="40" xr:uid="{00000000-0005-0000-0000-000018000000}"/>
    <cellStyle name="Millares 2 4 2" xfId="68" xr:uid="{00000000-0005-0000-0000-000019000000}"/>
    <cellStyle name="Millares 2 4 3" xfId="96" xr:uid="{00000000-0005-0000-0000-00001A000000}"/>
    <cellStyle name="Millares 2 5" xfId="49" xr:uid="{00000000-0005-0000-0000-00001B000000}"/>
    <cellStyle name="Millares 2 5 2" xfId="77" xr:uid="{00000000-0005-0000-0000-00001C000000}"/>
    <cellStyle name="Millares 2 5 3" xfId="105" xr:uid="{00000000-0005-0000-0000-00001D000000}"/>
    <cellStyle name="Millares 2 6" xfId="86" xr:uid="{00000000-0005-0000-0000-00001E000000}"/>
    <cellStyle name="Millares 2 7" xfId="29" xr:uid="{00000000-0005-0000-0000-00001F000000}"/>
    <cellStyle name="Millares 2 8" xfId="125" xr:uid="{00000000-0005-0000-0000-000020000000}"/>
    <cellStyle name="Millares 3" xfId="6" xr:uid="{00000000-0005-0000-0000-000021000000}"/>
    <cellStyle name="Millares 4" xfId="11" xr:uid="{00000000-0005-0000-0000-000022000000}"/>
    <cellStyle name="Millares 4 2" xfId="58" xr:uid="{00000000-0005-0000-0000-000023000000}"/>
    <cellStyle name="Millares 5" xfId="8" xr:uid="{00000000-0005-0000-0000-000024000000}"/>
    <cellStyle name="Millares 6" xfId="7" xr:uid="{00000000-0005-0000-0000-000025000000}"/>
    <cellStyle name="Millares 6 2" xfId="115" xr:uid="{00000000-0005-0000-0000-000026000000}"/>
    <cellStyle name="Millares 6 3" xfId="113" xr:uid="{00000000-0005-0000-0000-000027000000}"/>
    <cellStyle name="Millares 7" xfId="17" xr:uid="{00000000-0005-0000-0000-000028000000}"/>
    <cellStyle name="Millares 7 2" xfId="114" xr:uid="{00000000-0005-0000-0000-000029000000}"/>
    <cellStyle name="Millares 8" xfId="18" xr:uid="{00000000-0005-0000-0000-00002A000000}"/>
    <cellStyle name="Millares 8 2" xfId="25" xr:uid="{00000000-0005-0000-0000-00002B000000}"/>
    <cellStyle name="Millares 9" xfId="117" xr:uid="{00000000-0005-0000-0000-00002C000000}"/>
    <cellStyle name="Normal" xfId="0" builtinId="0"/>
    <cellStyle name="Normal 10" xfId="118" xr:uid="{00000000-0005-0000-0000-00002E000000}"/>
    <cellStyle name="Normal 11" xfId="30" xr:uid="{00000000-0005-0000-0000-00002F000000}"/>
    <cellStyle name="Normal 11 2" xfId="35" xr:uid="{00000000-0005-0000-0000-000030000000}"/>
    <cellStyle name="Normal 11 2 2" xfId="45" xr:uid="{00000000-0005-0000-0000-000031000000}"/>
    <cellStyle name="Normal 11 2 2 2" xfId="73" xr:uid="{00000000-0005-0000-0000-000032000000}"/>
    <cellStyle name="Normal 11 2 2 3" xfId="101" xr:uid="{00000000-0005-0000-0000-000033000000}"/>
    <cellStyle name="Normal 11 2 3" xfId="54" xr:uid="{00000000-0005-0000-0000-000034000000}"/>
    <cellStyle name="Normal 11 2 3 2" xfId="82" xr:uid="{00000000-0005-0000-0000-000035000000}"/>
    <cellStyle name="Normal 11 2 3 3" xfId="110" xr:uid="{00000000-0005-0000-0000-000036000000}"/>
    <cellStyle name="Normal 11 2 4" xfId="64" xr:uid="{00000000-0005-0000-0000-000037000000}"/>
    <cellStyle name="Normal 11 2 5" xfId="92" xr:uid="{00000000-0005-0000-0000-000038000000}"/>
    <cellStyle name="Normal 11 3" xfId="37" xr:uid="{00000000-0005-0000-0000-000039000000}"/>
    <cellStyle name="Normal 11 3 2" xfId="47" xr:uid="{00000000-0005-0000-0000-00003A000000}"/>
    <cellStyle name="Normal 11 3 2 2" xfId="75" xr:uid="{00000000-0005-0000-0000-00003B000000}"/>
    <cellStyle name="Normal 11 3 2 3" xfId="103" xr:uid="{00000000-0005-0000-0000-00003C000000}"/>
    <cellStyle name="Normal 11 3 3" xfId="56" xr:uid="{00000000-0005-0000-0000-00003D000000}"/>
    <cellStyle name="Normal 11 3 3 2" xfId="84" xr:uid="{00000000-0005-0000-0000-00003E000000}"/>
    <cellStyle name="Normal 11 3 3 3" xfId="112" xr:uid="{00000000-0005-0000-0000-00003F000000}"/>
    <cellStyle name="Normal 11 3 4" xfId="66" xr:uid="{00000000-0005-0000-0000-000040000000}"/>
    <cellStyle name="Normal 11 3 5" xfId="94" xr:uid="{00000000-0005-0000-0000-000041000000}"/>
    <cellStyle name="Normal 11 4" xfId="41" xr:uid="{00000000-0005-0000-0000-000042000000}"/>
    <cellStyle name="Normal 11 4 2" xfId="69" xr:uid="{00000000-0005-0000-0000-000043000000}"/>
    <cellStyle name="Normal 11 4 3" xfId="97" xr:uid="{00000000-0005-0000-0000-000044000000}"/>
    <cellStyle name="Normal 11 5" xfId="50" xr:uid="{00000000-0005-0000-0000-000045000000}"/>
    <cellStyle name="Normal 11 5 2" xfId="78" xr:uid="{00000000-0005-0000-0000-000046000000}"/>
    <cellStyle name="Normal 11 5 3" xfId="106" xr:uid="{00000000-0005-0000-0000-000047000000}"/>
    <cellStyle name="Normal 11 6" xfId="62" xr:uid="{00000000-0005-0000-0000-000048000000}"/>
    <cellStyle name="Normal 11 7" xfId="90" xr:uid="{00000000-0005-0000-0000-000049000000}"/>
    <cellStyle name="Normal 12" xfId="12" xr:uid="{00000000-0005-0000-0000-00004A000000}"/>
    <cellStyle name="Normal 13" xfId="121" xr:uid="{00000000-0005-0000-0000-00004B000000}"/>
    <cellStyle name="Normal 13 2" xfId="123" xr:uid="{00000000-0005-0000-0000-00004C000000}"/>
    <cellStyle name="Normal 14" xfId="31" xr:uid="{00000000-0005-0000-0000-00004D000000}"/>
    <cellStyle name="Normal 2" xfId="3" xr:uid="{00000000-0005-0000-0000-00004E000000}"/>
    <cellStyle name="Normal 2 2" xfId="19" xr:uid="{00000000-0005-0000-0000-00004F000000}"/>
    <cellStyle name="Normal 2 3" xfId="20" xr:uid="{00000000-0005-0000-0000-000050000000}"/>
    <cellStyle name="Normal 2 4" xfId="21" xr:uid="{00000000-0005-0000-0000-000051000000}"/>
    <cellStyle name="Normal 2 5" xfId="23" xr:uid="{00000000-0005-0000-0000-000052000000}"/>
    <cellStyle name="Normal 2 6" xfId="14" xr:uid="{00000000-0005-0000-0000-000053000000}"/>
    <cellStyle name="Normal 2 7" xfId="24" xr:uid="{00000000-0005-0000-0000-000054000000}"/>
    <cellStyle name="Normal 2 8" xfId="27" xr:uid="{00000000-0005-0000-0000-000055000000}"/>
    <cellStyle name="Normal 2 9" xfId="87" xr:uid="{00000000-0005-0000-0000-000056000000}"/>
    <cellStyle name="Normal 3" xfId="4" xr:uid="{00000000-0005-0000-0000-000057000000}"/>
    <cellStyle name="Normal 3 2" xfId="38" xr:uid="{00000000-0005-0000-0000-000058000000}"/>
    <cellStyle name="Normal 4" xfId="13" xr:uid="{00000000-0005-0000-0000-000059000000}"/>
    <cellStyle name="Normal 4 2" xfId="57" xr:uid="{00000000-0005-0000-0000-00005A000000}"/>
    <cellStyle name="Normal 5" xfId="16" xr:uid="{00000000-0005-0000-0000-00005B000000}"/>
    <cellStyle name="Normal 5 2" xfId="22" xr:uid="{00000000-0005-0000-0000-00005C000000}"/>
    <cellStyle name="Normal 6" xfId="59" xr:uid="{00000000-0005-0000-0000-00005D000000}"/>
    <cellStyle name="Normal 7" xfId="10" xr:uid="{00000000-0005-0000-0000-00005E000000}"/>
    <cellStyle name="Normal 8" xfId="26" xr:uid="{00000000-0005-0000-0000-00005F000000}"/>
    <cellStyle name="Normal 9" xfId="116" xr:uid="{00000000-0005-0000-0000-000060000000}"/>
    <cellStyle name="Porcentaje" xfId="2" builtinId="5"/>
    <cellStyle name="Porcentaje 2" xfId="9" xr:uid="{00000000-0005-0000-0000-000062000000}"/>
    <cellStyle name="Porcentaje 3" xfId="15" xr:uid="{00000000-0005-0000-0000-000063000000}"/>
    <cellStyle name="Porcentual 2" xfId="28" xr:uid="{00000000-0005-0000-0000-000064000000}"/>
    <cellStyle name="Porcentual 2 2" xfId="33" xr:uid="{00000000-0005-0000-0000-000065000000}"/>
    <cellStyle name="Porcentual 2 2 2" xfId="43" xr:uid="{00000000-0005-0000-0000-000066000000}"/>
    <cellStyle name="Porcentual 2 2 2 2" xfId="71" xr:uid="{00000000-0005-0000-0000-000067000000}"/>
    <cellStyle name="Porcentual 2 2 2 3" xfId="99" xr:uid="{00000000-0005-0000-0000-000068000000}"/>
    <cellStyle name="Porcentual 2 2 3" xfId="52" xr:uid="{00000000-0005-0000-0000-000069000000}"/>
    <cellStyle name="Porcentual 2 2 3 2" xfId="80" xr:uid="{00000000-0005-0000-0000-00006A000000}"/>
    <cellStyle name="Porcentual 2 2 3 3" xfId="108" xr:uid="{00000000-0005-0000-0000-00006B000000}"/>
    <cellStyle name="Porcentual 2 2 4" xfId="60" xr:uid="{00000000-0005-0000-0000-00006C000000}"/>
    <cellStyle name="Porcentual 2 2 5" xfId="88" xr:uid="{00000000-0005-0000-0000-00006D000000}"/>
    <cellStyle name="Porcentual 2 3" xfId="32" xr:uid="{00000000-0005-0000-0000-00006E000000}"/>
    <cellStyle name="Porcentual 2 3 2" xfId="42" xr:uid="{00000000-0005-0000-0000-00006F000000}"/>
    <cellStyle name="Porcentual 2 3 2 2" xfId="70" xr:uid="{00000000-0005-0000-0000-000070000000}"/>
    <cellStyle name="Porcentual 2 3 2 3" xfId="98" xr:uid="{00000000-0005-0000-0000-000071000000}"/>
    <cellStyle name="Porcentual 2 3 3" xfId="51" xr:uid="{00000000-0005-0000-0000-000072000000}"/>
    <cellStyle name="Porcentual 2 3 3 2" xfId="79" xr:uid="{00000000-0005-0000-0000-000073000000}"/>
    <cellStyle name="Porcentual 2 3 3 3" xfId="107" xr:uid="{00000000-0005-0000-0000-000074000000}"/>
    <cellStyle name="Porcentual 2 3 4" xfId="63" xr:uid="{00000000-0005-0000-0000-000075000000}"/>
    <cellStyle name="Porcentual 2 3 5" xfId="91" xr:uid="{00000000-0005-0000-0000-000076000000}"/>
    <cellStyle name="Porcentual 2 4" xfId="39" xr:uid="{00000000-0005-0000-0000-000077000000}"/>
    <cellStyle name="Porcentual 2 4 2" xfId="67" xr:uid="{00000000-0005-0000-0000-000078000000}"/>
    <cellStyle name="Porcentual 2 4 3" xfId="95" xr:uid="{00000000-0005-0000-0000-000079000000}"/>
    <cellStyle name="Porcentual 2 5" xfId="48" xr:uid="{00000000-0005-0000-0000-00007A000000}"/>
    <cellStyle name="Porcentual 2 5 2" xfId="76" xr:uid="{00000000-0005-0000-0000-00007B000000}"/>
    <cellStyle name="Porcentual 2 5 3" xfId="104" xr:uid="{00000000-0005-0000-0000-00007C000000}"/>
    <cellStyle name="Porcentual 2 6" xfId="85" xr:uid="{00000000-0005-0000-0000-00007D000000}"/>
  </cellStyles>
  <dxfs count="86">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rgb="FF000000"/>
        </top>
        <bottom style="thin">
          <color indexed="64"/>
        </bottom>
      </border>
    </dxf>
    <dxf>
      <font>
        <b/>
        <i val="0"/>
        <strike val="0"/>
        <condense val="0"/>
        <extend val="0"/>
        <outline val="0"/>
        <shadow val="0"/>
        <u val="none"/>
        <vertAlign val="baseline"/>
        <sz val="11"/>
        <color theme="1"/>
        <name val="Calibri"/>
        <family val="2"/>
        <scheme val="minor"/>
      </font>
      <numFmt numFmtId="165" formatCode="_(* #,##0.00_);_(* \(#,##0.00\);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5" formatCode="_(* #,##0.00_);_(* \(#,##0.00\);_(* &quot;-&quot;??_);_(@_)"/>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border outline="0">
        <right style="thin">
          <color indexed="64"/>
        </right>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border outline="0">
        <right style="thin">
          <color indexed="64"/>
        </right>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border outline="0">
        <right style="thin">
          <color indexed="64"/>
        </right>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rgb="FF000000"/>
        </top>
      </border>
    </dxf>
    <dxf>
      <font>
        <b/>
      </font>
      <fill>
        <patternFill patternType="none">
          <fgColor rgb="FF000000"/>
          <bgColor auto="1"/>
        </patternFill>
      </fill>
    </dxf>
    <dxf>
      <border outline="0">
        <left style="thin">
          <color rgb="FF000000"/>
        </left>
        <right style="thin">
          <color rgb="FF000000"/>
        </righ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rgb="FF000000"/>
        </top>
        <bottom style="thin">
          <color indexed="64"/>
        </bottom>
      </border>
    </dxf>
    <dxf>
      <font>
        <b val="0"/>
        <i val="0"/>
        <strike val="0"/>
        <condense val="0"/>
        <extend val="0"/>
        <outline val="0"/>
        <shadow val="0"/>
        <u val="none"/>
        <vertAlign val="baseline"/>
        <sz val="11"/>
        <color theme="1"/>
        <name val="Calibri"/>
        <family val="2"/>
        <scheme val="minor"/>
      </font>
      <numFmt numFmtId="165" formatCode="_(* #,##0.00_);_(* \(#,##0.00\);_(* &quot;-&quot;??_);_(@_)"/>
      <fill>
        <patternFill patternType="none">
          <fgColor indexed="64"/>
          <bgColor indexed="65"/>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numFmt numFmtId="165" formatCode="_(* #,##0.00_);_(* \(#,##0.00\);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5" formatCode="_(* #,##0.00_);_(* \(#,##0.00\);_(* &quot;-&quot;??_);_(@_)"/>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border outline="0">
        <right style="thin">
          <color indexed="64"/>
        </right>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alignment horizontal="left" vertical="center" textRotation="0" wrapText="1" indent="0" justifyLastLine="0" shrinkToFit="0" readingOrder="0"/>
      <border outline="0">
        <right style="thin">
          <color indexed="64"/>
        </right>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border outline="0">
        <right style="thin">
          <color indexed="64"/>
        </right>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rgb="FF000000"/>
        </top>
      </border>
    </dxf>
    <dxf>
      <font>
        <b/>
      </font>
      <fill>
        <patternFill patternType="none">
          <fgColor rgb="FF000000"/>
          <bgColor auto="1"/>
        </patternFill>
      </fill>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auto="1"/>
        <name val="Franklin Gothic Book"/>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Franklin Gothic Book"/>
        <family val="2"/>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Franklin Gothic Book"/>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Franklin Gothic Book"/>
        <family val="2"/>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Franklin Gothic Book"/>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Franklin Gothic Book"/>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Franklin Gothic Book"/>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Franklin Gothic Book"/>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Franklin Gothic Book"/>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Franklin Gothic Book"/>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Franklin Gothic Book"/>
        <family val="2"/>
        <scheme val="none"/>
      </font>
      <numFmt numFmtId="167" formatCode="&quot;₡&quot;#,##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Franklin Gothic Book"/>
        <family val="2"/>
        <scheme val="none"/>
      </font>
      <numFmt numFmtId="167"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Franklin Gothic Book"/>
        <family val="2"/>
        <scheme val="none"/>
      </font>
      <numFmt numFmtId="167" formatCode="&quot;₡&quot;#,##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Franklin Gothic Book"/>
        <family val="2"/>
        <scheme val="none"/>
      </font>
      <numFmt numFmtId="167"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Franklin Gothic Book"/>
        <family val="2"/>
        <scheme val="none"/>
      </font>
      <numFmt numFmtId="167" formatCode="&quot;₡&quot;#,##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Franklin Gothic Book"/>
        <family val="2"/>
        <scheme val="none"/>
      </font>
      <numFmt numFmtId="167"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Franklin Gothic Book"/>
        <family val="2"/>
        <scheme val="none"/>
      </font>
      <numFmt numFmtId="167" formatCode="&quot;₡&quot;#,##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Franklin Gothic Book"/>
        <family val="2"/>
        <scheme val="none"/>
      </font>
      <numFmt numFmtId="167"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Franklin Gothic Book"/>
        <family val="2"/>
        <scheme val="none"/>
      </font>
      <numFmt numFmtId="167" formatCode="&quot;₡&quot;#,##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Franklin Gothic Book"/>
        <scheme val="none"/>
      </font>
      <numFmt numFmtId="167"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Franklin Gothic Book"/>
        <family val="2"/>
        <scheme val="none"/>
      </font>
      <numFmt numFmtId="167" formatCode="&quot;₡&quot;#,##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Franklin Gothic Book"/>
        <family val="2"/>
        <scheme val="none"/>
      </font>
      <numFmt numFmtId="167"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Franklin Gothic Book"/>
        <family val="2"/>
        <scheme val="none"/>
      </font>
      <numFmt numFmtId="167" formatCode="&quot;₡&quot;#,##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Franklin Gothic Book"/>
        <family val="2"/>
        <scheme val="none"/>
      </font>
      <numFmt numFmtId="167"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Franklin Gothic Book"/>
        <family val="2"/>
        <scheme val="none"/>
      </font>
      <numFmt numFmtId="167" formatCode="&quot;₡&quot;#,##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Franklin Gothic Book"/>
        <family val="2"/>
        <scheme val="none"/>
      </font>
      <numFmt numFmtId="167"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Franklin Gothic Book"/>
        <family val="2"/>
        <scheme val="none"/>
      </font>
      <numFmt numFmtId="167" formatCode="&quot;₡&quot;#,##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Franklin Gothic Book"/>
        <family val="2"/>
        <scheme val="none"/>
      </font>
      <numFmt numFmtId="167"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Franklin Gothic Book"/>
        <family val="2"/>
        <scheme val="none"/>
      </font>
      <numFmt numFmtId="167" formatCode="&quot;₡&quot;#,##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Franklin Gothic Book"/>
        <family val="2"/>
        <scheme val="none"/>
      </font>
      <numFmt numFmtId="167"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Franklin Gothic Book"/>
        <family val="2"/>
        <scheme val="none"/>
      </font>
      <numFmt numFmtId="167" formatCode="&quot;₡&quot;#,##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Franklin Gothic Book"/>
        <family val="2"/>
        <scheme val="none"/>
      </font>
      <numFmt numFmtId="167"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Franklin Gothic Book"/>
        <family val="2"/>
        <scheme val="none"/>
      </font>
      <numFmt numFmtId="167" formatCode="&quot;₡&quot;#,##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Franklin Gothic Book"/>
        <family val="2"/>
        <scheme val="none"/>
      </font>
      <numFmt numFmtId="167"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Franklin Gothic Book"/>
        <family val="2"/>
        <scheme val="none"/>
      </font>
      <numFmt numFmtId="167" formatCode="&quot;₡&quot;#,##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Franklin Gothic Book"/>
        <family val="2"/>
        <scheme val="none"/>
      </font>
      <numFmt numFmtId="167"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Franklin Gothic Book"/>
        <family val="2"/>
        <scheme val="none"/>
      </font>
      <numFmt numFmtId="167" formatCode="&quot;₡&quot;#,##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Franklin Gothic Book"/>
        <scheme val="none"/>
      </font>
      <numFmt numFmtId="167"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Franklin Gothic Book"/>
        <family val="2"/>
        <scheme val="none"/>
      </font>
      <numFmt numFmtId="167" formatCode="&quot;₡&quot;#,##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Franklin Gothic Book"/>
        <family val="2"/>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Franklin Gothic Book"/>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Franklin Gothic Book"/>
        <family val="2"/>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Franklin Gothic Book"/>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Franklin Gothic Book"/>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Franklin Gothic Book"/>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rgb="FF000000"/>
        </right>
        <top style="medium">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0"/>
        <name val="Franklin Gothic Book"/>
        <scheme val="none"/>
      </font>
      <fill>
        <patternFill patternType="solid">
          <fgColor indexed="64"/>
          <bgColor rgb="FF75702B"/>
        </patternFill>
      </fill>
      <alignment horizontal="center" vertical="center" textRotation="0" wrapText="1" indent="0" justifyLastLine="0" shrinkToFit="0" readingOrder="0"/>
    </dxf>
    <dxf>
      <fill>
        <patternFill patternType="none">
          <bgColor auto="1"/>
        </patternFill>
      </fill>
    </dxf>
    <dxf>
      <fill>
        <patternFill patternType="none">
          <bgColor auto="1"/>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213253</xdr:colOff>
      <xdr:row>2</xdr:row>
      <xdr:rowOff>130173</xdr:rowOff>
    </xdr:from>
    <xdr:to>
      <xdr:col>1</xdr:col>
      <xdr:colOff>1111132</xdr:colOff>
      <xdr:row>8</xdr:row>
      <xdr:rowOff>92074</xdr:rowOff>
    </xdr:to>
    <xdr:pic>
      <xdr:nvPicPr>
        <xdr:cNvPr id="2" name="Picture 1374" descr="LOGO CONICIT">
          <a:extLst>
            <a:ext uri="{FF2B5EF4-FFF2-40B4-BE49-F238E27FC236}">
              <a16:creationId xmlns:a16="http://schemas.microsoft.com/office/drawing/2014/main" id="{87CDB8DA-616D-4D94-8A6E-3168D0125F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828" y="473073"/>
          <a:ext cx="897879" cy="9906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10</xdr:col>
      <xdr:colOff>24765</xdr:colOff>
      <xdr:row>16</xdr:row>
      <xdr:rowOff>121920</xdr:rowOff>
    </xdr:to>
    <xdr:pic>
      <xdr:nvPicPr>
        <xdr:cNvPr id="2" name="Imagen 1">
          <a:extLst>
            <a:ext uri="{FF2B5EF4-FFF2-40B4-BE49-F238E27FC236}">
              <a16:creationId xmlns:a16="http://schemas.microsoft.com/office/drawing/2014/main" id="{E1A317D4-98EF-4FA4-A8D6-B9E9C296557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381000"/>
          <a:ext cx="6120765" cy="278892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Seidy%20Z&#250;&#241;iga/1%20PRESUPUESTO/2021/0-Matriz%20POI-presupuesto%202021%20consolidado%20al%2004-1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2020\PRESUPUESTO\CONTROL%20PRESUPUESTO%20Ley%205048,%207169,%209028%20y%203%2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2020\PRESUPUESTO\PRESUPUESTO%20INICIAL\Presupuesto%202020%20CONICIT\documentos%20ajustados%20en%20diciembre%20no%20enviados\MATRIZ%20ANTEPROYECTO%20PRESUPUESTO%202020%20CONSOLIDADA%20al%2023-12-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2020\PRESUPUESTO\PRESUPUESTO%20INICIAL\Presupuesto%202020%20CONICIT\documentos%20ajustados%20en%20diciembre%20no%20enviados\MATRIZ%20ANTEPROYECTO%20PRESUPUESTO%202020%20CONSOLIDADA%20al%2023-12-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6"/>
      <sheetName val="Hoja1"/>
      <sheetName val="Distribución recursos"/>
      <sheetName val="Detalle de Ingresos "/>
      <sheetName val="Distribución recursos 2021"/>
      <sheetName val="ACTIVIDADES 2018"/>
      <sheetName val="Hoja2"/>
      <sheetName val="Hoja3"/>
      <sheetName val="Cuadros"/>
      <sheetName val="partidas"/>
    </sheetNames>
    <sheetDataSet>
      <sheetData sheetId="0" refreshError="1"/>
      <sheetData sheetId="1" refreshError="1"/>
      <sheetData sheetId="2" refreshError="1"/>
      <sheetData sheetId="3" refreshError="1"/>
      <sheetData sheetId="4" refreshError="1"/>
      <sheetData sheetId="5" refreshError="1"/>
      <sheetData sheetId="6">
        <row r="4">
          <cell r="B4" t="str">
            <v>Dirección de Soporte Administrativo</v>
          </cell>
          <cell r="C4" t="str">
            <v>001 Transferencias corrientes 3% Propyme</v>
          </cell>
        </row>
        <row r="5">
          <cell r="B5" t="str">
            <v>Finanzas</v>
          </cell>
          <cell r="C5" t="str">
            <v>001 Transferencias corrientes Ley 5048 CONICIT</v>
          </cell>
        </row>
        <row r="6">
          <cell r="B6" t="str">
            <v>Gestión del Desarrollo Humano</v>
          </cell>
          <cell r="C6" t="str">
            <v>001 Transferencias corrientes Ley 7169 Fondo de Incentivos</v>
          </cell>
        </row>
        <row r="7">
          <cell r="B7" t="str">
            <v>Tecnologías de la Información</v>
          </cell>
          <cell r="C7" t="str">
            <v>001 Transferencias corrientes Ley 8262 Propyme</v>
          </cell>
        </row>
        <row r="8">
          <cell r="B8" t="str">
            <v>Recursos Materiales y Servicios</v>
          </cell>
          <cell r="C8" t="str">
            <v>001 Transferencias corrientes Ley 9028 Tabaco</v>
          </cell>
        </row>
        <row r="9">
          <cell r="B9" t="str">
            <v>Secretaría Ejecutiva</v>
          </cell>
          <cell r="C9" t="str">
            <v>001 Transferencias corrientes Ley 7169 F.Incent. Reintegros</v>
          </cell>
        </row>
        <row r="10">
          <cell r="B10" t="str">
            <v>Asesoría Legal</v>
          </cell>
          <cell r="C10" t="str">
            <v>900 Superavit libre Ley 5048 CONICIT</v>
          </cell>
        </row>
        <row r="11">
          <cell r="B11" t="str">
            <v>Planificación</v>
          </cell>
          <cell r="C11" t="str">
            <v>921 Superavit específico Ley 7169 Fondo de Incentivos</v>
          </cell>
        </row>
        <row r="12">
          <cell r="B12" t="str">
            <v>Auditoría Interna</v>
          </cell>
          <cell r="C12" t="str">
            <v>922 Superavit específico Ley 8262 Propyme</v>
          </cell>
        </row>
        <row r="13">
          <cell r="B13" t="str">
            <v>Dirección de Promoción</v>
          </cell>
          <cell r="C13" t="str">
            <v>923 Superavit específico Ley 7099 Fideicomiso 04-99</v>
          </cell>
        </row>
        <row r="14">
          <cell r="B14" t="str">
            <v>Gestión del Financiamiento</v>
          </cell>
          <cell r="C14" t="str">
            <v>924 Superavit específico 3% Propyme</v>
          </cell>
        </row>
        <row r="15">
          <cell r="B15" t="str">
            <v>Evaluación Técnica</v>
          </cell>
          <cell r="C15" t="str">
            <v>926 Superavit específico Ley 9028 Tabaco</v>
          </cell>
        </row>
        <row r="16">
          <cell r="B16" t="str">
            <v>Vinculación y Asesoría</v>
          </cell>
        </row>
        <row r="17">
          <cell r="B17" t="str">
            <v>Gestión de la Información</v>
          </cell>
        </row>
        <row r="18">
          <cell r="B18" t="str">
            <v>USUARIO</v>
          </cell>
        </row>
        <row r="19">
          <cell r="B19" t="str">
            <v>Comisión de Ética y Valores</v>
          </cell>
        </row>
        <row r="20">
          <cell r="B20" t="str">
            <v>Brigada de primeros auxilios</v>
          </cell>
        </row>
        <row r="21">
          <cell r="B21" t="str">
            <v>Comisión de Salud y Seguridad Ocupacional</v>
          </cell>
        </row>
        <row r="22">
          <cell r="B22" t="str">
            <v>Comisión de Gestión Ambiental</v>
          </cell>
        </row>
        <row r="27">
          <cell r="B27" t="str">
            <v>JARA SOLIS EDGAR ENRIQUE</v>
          </cell>
        </row>
        <row r="28">
          <cell r="B28" t="str">
            <v>GUTIÉRREZ VILLALTA FABIO ADOLFO</v>
          </cell>
        </row>
        <row r="29">
          <cell r="B29" t="str">
            <v>HIDALGO LOPEZ ILEANA</v>
          </cell>
        </row>
        <row r="30">
          <cell r="B30" t="str">
            <v>SÁNCHEZ ROBLES ROXANA</v>
          </cell>
        </row>
        <row r="31">
          <cell r="B31" t="str">
            <v>SOLANO VEGA YORLENY</v>
          </cell>
        </row>
        <row r="32">
          <cell r="B32" t="str">
            <v>VICENTE LEÓN GUILLERMO ARTURO</v>
          </cell>
        </row>
        <row r="33">
          <cell r="B33" t="str">
            <v>RAMOS BRENES MARIA DESIRÉE</v>
          </cell>
        </row>
        <row r="34">
          <cell r="B34" t="str">
            <v>BRICEÑO JIMÉNEZ FRANCISCO JOSÉ</v>
          </cell>
        </row>
        <row r="35">
          <cell r="B35" t="str">
            <v>FALLAS GÓMEZ FABIOLA FRANCHESCA</v>
          </cell>
        </row>
        <row r="36">
          <cell r="B36" t="str">
            <v>BARBOZA CASTRO DIANA CAROLINA</v>
          </cell>
        </row>
        <row r="37">
          <cell r="B37" t="str">
            <v>DIAZ DIAZ MARIA GABRIELA</v>
          </cell>
        </row>
        <row r="38">
          <cell r="B38" t="str">
            <v>GARRO ARIAS KIMBERLY</v>
          </cell>
        </row>
        <row r="39">
          <cell r="B39" t="str">
            <v>ARMAS GONZALEZ IRENE</v>
          </cell>
        </row>
        <row r="40">
          <cell r="B40" t="str">
            <v>CAMPOS MEJICANO NOEMY</v>
          </cell>
        </row>
        <row r="41">
          <cell r="B41" t="str">
            <v>HERNÁNDEZ ROJAS VERÓNICA</v>
          </cell>
        </row>
        <row r="42">
          <cell r="B42" t="str">
            <v>JIMÉNEZ GODOY ALEJANDRO</v>
          </cell>
        </row>
        <row r="43">
          <cell r="B43" t="str">
            <v>MENDEZ VARGAS GRETTEL</v>
          </cell>
        </row>
        <row r="44">
          <cell r="B44" t="str">
            <v>MUÑOZ RIVERA JORGE</v>
          </cell>
        </row>
        <row r="45">
          <cell r="B45" t="str">
            <v>ROJAS VEGA JORGE ENRIQUE</v>
          </cell>
        </row>
        <row r="46">
          <cell r="B46" t="str">
            <v>ARIAS ALVARADO SILVIA ELENA</v>
          </cell>
        </row>
        <row r="47">
          <cell r="B47" t="str">
            <v>CARVAJAL RUIZ TABATA</v>
          </cell>
        </row>
        <row r="48">
          <cell r="B48" t="str">
            <v>FERNÁNDEZ CORDERO ANA LORENA</v>
          </cell>
        </row>
        <row r="49">
          <cell r="B49" t="str">
            <v>MORA MORA WILLIAM</v>
          </cell>
        </row>
        <row r="50">
          <cell r="B50" t="str">
            <v>FALLAS PÉREZ JOHNNY</v>
          </cell>
        </row>
        <row r="51">
          <cell r="B51" t="str">
            <v>ARAYA MARRONI ALEJANDRA</v>
          </cell>
        </row>
        <row r="52">
          <cell r="B52" t="str">
            <v>DIAZ FAJARDO DANIELA DE LOS ANGEL</v>
          </cell>
        </row>
        <row r="53">
          <cell r="B53" t="str">
            <v>MADRIGAL HIDALGO JUAN JOSÉ</v>
          </cell>
        </row>
        <row r="54">
          <cell r="B54" t="str">
            <v>MUÑOZ RAMIREZ RAFAEL</v>
          </cell>
        </row>
        <row r="55">
          <cell r="B55" t="str">
            <v>ZUÑIGA RIVAS ALBERTO JESUS</v>
          </cell>
        </row>
        <row r="56">
          <cell r="B56" t="str">
            <v>ALFARO ALFARO SEIDY MARÍA</v>
          </cell>
        </row>
        <row r="57">
          <cell r="B57" t="str">
            <v>CERDAS LÓPEZ MAXIMILIANO FRANCISCO</v>
          </cell>
        </row>
        <row r="58">
          <cell r="B58" t="str">
            <v>ESQUIVEL CHINCHILLA MARLENY</v>
          </cell>
        </row>
        <row r="59">
          <cell r="B59" t="str">
            <v>VILLEGAS SÁNCHEZ NATALIA</v>
          </cell>
        </row>
        <row r="60">
          <cell r="B60" t="str">
            <v>NAVARRO QUIRÓS NURIA VIRGINIA</v>
          </cell>
        </row>
        <row r="61">
          <cell r="B61" t="str">
            <v>SANCHEZ ANCHIA CRISTINA</v>
          </cell>
        </row>
        <row r="62">
          <cell r="B62" t="str">
            <v>SOLÍS CAMPOS PABLO ANDRÉS</v>
          </cell>
        </row>
        <row r="63">
          <cell r="B63" t="str">
            <v>ZÚÑIGA OBANDO SEIDY DIANA</v>
          </cell>
        </row>
        <row r="64">
          <cell r="B64" t="str">
            <v>AGUILAR ROMERO NATALI PAOLA</v>
          </cell>
        </row>
        <row r="65">
          <cell r="B65" t="str">
            <v>DALORZO CHINCHILLA WILLIAM</v>
          </cell>
        </row>
        <row r="66">
          <cell r="B66" t="str">
            <v>BENAVIDES BARRANTES LUIS DAVID</v>
          </cell>
        </row>
        <row r="67">
          <cell r="B67" t="str">
            <v>PORRAS JIMÉNEZ VINICIO</v>
          </cell>
        </row>
        <row r="68">
          <cell r="B68" t="str">
            <v>VARGAS MONTENEGRO ROCÍO</v>
          </cell>
        </row>
      </sheetData>
      <sheetData sheetId="7" refreshError="1"/>
      <sheetData sheetId="8" refreshError="1"/>
      <sheetData sheetId="9">
        <row r="3">
          <cell r="B3" t="str">
            <v>_0_REMUNERACION</v>
          </cell>
        </row>
        <row r="4">
          <cell r="B4" t="str">
            <v>_1_SERVICIOS</v>
          </cell>
        </row>
        <row r="5">
          <cell r="B5" t="str">
            <v>_2_MATERIALES_Y_SUMINISTROS</v>
          </cell>
        </row>
        <row r="6">
          <cell r="B6" t="str">
            <v>_3_INTERESES_Y_COMISIONES</v>
          </cell>
        </row>
        <row r="7">
          <cell r="B7" t="str">
            <v>_4_ACTIVOS_FINANCIEROS</v>
          </cell>
        </row>
        <row r="8">
          <cell r="B8" t="str">
            <v>_5_BIENES_DURADEROS</v>
          </cell>
        </row>
        <row r="9">
          <cell r="B9" t="str">
            <v>_6_TRANSFERENCIAS_CORRIENTES</v>
          </cell>
        </row>
        <row r="10">
          <cell r="B10" t="str">
            <v>_7_TRANSFERENCIAS_DE_CAPITAL</v>
          </cell>
        </row>
        <row r="11">
          <cell r="B11" t="str">
            <v>_8_AMORTIZACION</v>
          </cell>
        </row>
        <row r="12">
          <cell r="B12" t="str">
            <v>_9_CUENTAS_ESPECIALES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 pre 2020"/>
      <sheetName val="PRE-2020"/>
      <sheetName val="Detalle de Ingresos "/>
      <sheetName val="ajustes por improbación"/>
      <sheetName val="ACTIVIDADES 2018"/>
      <sheetName val="Hoja2"/>
      <sheetName val="partidas"/>
    </sheetNames>
    <sheetDataSet>
      <sheetData sheetId="0"/>
      <sheetData sheetId="1">
        <row r="28">
          <cell r="D28" t="str">
            <v>Salarios</v>
          </cell>
        </row>
        <row r="29">
          <cell r="D29" t="str">
            <v>Salarios</v>
          </cell>
        </row>
        <row r="30">
          <cell r="D30" t="str">
            <v>Salarios</v>
          </cell>
        </row>
        <row r="31">
          <cell r="D31" t="str">
            <v>Salarios</v>
          </cell>
        </row>
        <row r="32">
          <cell r="D32" t="str">
            <v>Salarios</v>
          </cell>
        </row>
        <row r="33">
          <cell r="D33" t="str">
            <v>Salarios</v>
          </cell>
        </row>
        <row r="34">
          <cell r="D34" t="str">
            <v>Salarios</v>
          </cell>
        </row>
        <row r="35">
          <cell r="D35" t="str">
            <v>Salarios</v>
          </cell>
        </row>
        <row r="36">
          <cell r="D36" t="str">
            <v>Salarios</v>
          </cell>
        </row>
        <row r="37">
          <cell r="D37" t="str">
            <v>Salarios</v>
          </cell>
        </row>
        <row r="38">
          <cell r="D38" t="str">
            <v>Salarios</v>
          </cell>
        </row>
        <row r="39">
          <cell r="D39" t="str">
            <v>Salarios</v>
          </cell>
        </row>
        <row r="40">
          <cell r="D40" t="str">
            <v>Respaldos de Bases de datos</v>
          </cell>
        </row>
        <row r="41">
          <cell r="D41" t="str">
            <v>Servicios Públicos</v>
          </cell>
        </row>
        <row r="42">
          <cell r="D42" t="str">
            <v>Servicios Públicos</v>
          </cell>
        </row>
        <row r="43">
          <cell r="D43" t="str">
            <v>Servicio de apartado postal</v>
          </cell>
        </row>
        <row r="44">
          <cell r="D44" t="str">
            <v xml:space="preserve">Servicio de Telecomunicaciones </v>
          </cell>
        </row>
        <row r="45">
          <cell r="D45" t="str">
            <v xml:space="preserve">Impuestos municipales </v>
          </cell>
        </row>
        <row r="46">
          <cell r="D46" t="str">
            <v>Sistema de Compras habilitado</v>
          </cell>
        </row>
        <row r="47">
          <cell r="D47" t="str">
            <v>Estados Financieros</v>
          </cell>
        </row>
        <row r="48">
          <cell r="D48" t="str">
            <v>Realizar actividades varias dirigidas a los funcionarios del Conicit para el fortalecimiento de la ética institucional</v>
          </cell>
        </row>
        <row r="49">
          <cell r="D49" t="str">
            <v>Sistema de Compras habilitado</v>
          </cell>
        </row>
        <row r="50">
          <cell r="D50" t="str">
            <v>Renovación de certificados digitales de los colaboradores</v>
          </cell>
        </row>
        <row r="51">
          <cell r="D51" t="str">
            <v>Gestionar el médico de empresa</v>
          </cell>
        </row>
        <row r="52">
          <cell r="D52" t="str">
            <v>Gestionar el médico de empresa</v>
          </cell>
        </row>
        <row r="53">
          <cell r="D53" t="str">
            <v>Gestionar el médico de empresa</v>
          </cell>
        </row>
        <row r="54">
          <cell r="D54" t="str">
            <v>Elaboración de dictámenes (paneles de expertos)</v>
          </cell>
        </row>
      </sheetData>
      <sheetData sheetId="2"/>
      <sheetData sheetId="3"/>
      <sheetData sheetId="4"/>
      <sheetData sheetId="5">
        <row r="4">
          <cell r="B4" t="str">
            <v>Dirección de Soporte Administrativo</v>
          </cell>
          <cell r="C4" t="str">
            <v>001 Transferencias corrientes 3% Propyme</v>
          </cell>
        </row>
        <row r="5">
          <cell r="B5" t="str">
            <v>Unidad de Finanzas</v>
          </cell>
          <cell r="C5" t="str">
            <v>001 Transferencias corrientes Ley 5048 CONICIT</v>
          </cell>
        </row>
        <row r="6">
          <cell r="B6" t="str">
            <v>Unidad de Gestión del Desarrollo Humano</v>
          </cell>
          <cell r="C6" t="str">
            <v>001 Transferencias corrientes Ley 7169 Fondo de Incentivos</v>
          </cell>
        </row>
        <row r="7">
          <cell r="B7" t="str">
            <v>Unidad de Tecnologías de la Información</v>
          </cell>
          <cell r="C7" t="str">
            <v>001 Transferencias corrientes Ley 8262 Propyme</v>
          </cell>
        </row>
        <row r="8">
          <cell r="B8" t="str">
            <v>Unidad de Recursos Materiales y Servicios</v>
          </cell>
          <cell r="C8" t="str">
            <v>001 Transferencias corrientes Ley 9028 Tabaco</v>
          </cell>
        </row>
        <row r="9">
          <cell r="B9" t="str">
            <v>Secretaría Ejecutiva</v>
          </cell>
          <cell r="C9" t="str">
            <v>001 Transferencias corrientes Ley 7169 F.Incent. Reintegros</v>
          </cell>
        </row>
        <row r="10">
          <cell r="B10" t="str">
            <v>Asesoría Legal</v>
          </cell>
          <cell r="C10" t="str">
            <v>900 Superavit libre Ley 5048 CONICIT</v>
          </cell>
        </row>
        <row r="11">
          <cell r="B11" t="str">
            <v>Unidad de Planificación</v>
          </cell>
          <cell r="C11" t="str">
            <v>921 Superavit específico Ley 7169 Fondo de Incentivos</v>
          </cell>
        </row>
        <row r="12">
          <cell r="B12" t="str">
            <v>Auditoría Interna</v>
          </cell>
          <cell r="C12" t="str">
            <v>922 Superavit específico Ley 8262 Propyme</v>
          </cell>
        </row>
        <row r="13">
          <cell r="B13" t="str">
            <v>Dirección de Promoción</v>
          </cell>
          <cell r="C13" t="str">
            <v>923 Superavit específico Ley 7099 Fideicomiso 04-99</v>
          </cell>
        </row>
        <row r="14">
          <cell r="B14" t="str">
            <v>Unidad de Gestión del Financiamiento</v>
          </cell>
          <cell r="C14" t="str">
            <v>924 Superavit específico 3% Propyme</v>
          </cell>
        </row>
        <row r="15">
          <cell r="C15" t="str">
            <v>926 Superavit específicoLey 9028 Tabaco</v>
          </cell>
        </row>
        <row r="16">
          <cell r="B16" t="str">
            <v>Unidad de Evaluación Técnica</v>
          </cell>
          <cell r="C16" t="str">
            <v>925 Superavit específico ELAN</v>
          </cell>
        </row>
        <row r="17">
          <cell r="B17" t="str">
            <v>Unidad de Vinculación y Asesoría</v>
          </cell>
        </row>
        <row r="18">
          <cell r="B18" t="str">
            <v>Unidad de Gestión de la Información</v>
          </cell>
        </row>
        <row r="19">
          <cell r="B19" t="str">
            <v>Comisión de Ética y Valores</v>
          </cell>
        </row>
        <row r="20">
          <cell r="B20" t="str">
            <v>Comisión de Salud y Seguridad Ocupacional</v>
          </cell>
        </row>
        <row r="21">
          <cell r="B21" t="str">
            <v>Comisión de Gestión Ambiental</v>
          </cell>
        </row>
        <row r="26">
          <cell r="B26" t="str">
            <v>JARA SOLIS EDGAR ENRIQUE</v>
          </cell>
        </row>
        <row r="27">
          <cell r="B27" t="str">
            <v>GUTIÉRREZ VILLALTA FABIO ADOLFO</v>
          </cell>
        </row>
        <row r="28">
          <cell r="B28" t="str">
            <v>HIDALGO LOPEZ ILEANA</v>
          </cell>
        </row>
        <row r="29">
          <cell r="B29" t="str">
            <v>SÁNCHEZ ROBLES ROXANA</v>
          </cell>
        </row>
        <row r="30">
          <cell r="B30" t="str">
            <v>SOLANO VEGA YORLENY</v>
          </cell>
        </row>
        <row r="31">
          <cell r="B31" t="str">
            <v>VICENTE LEÓN GUILLERMO ARTURO</v>
          </cell>
        </row>
        <row r="32">
          <cell r="B32" t="str">
            <v>RAMOS BRENES MARIA DESIRÉE</v>
          </cell>
        </row>
        <row r="33">
          <cell r="B33" t="str">
            <v>BRICEÑO JIMÉNEZ FRANCISCO JOSÉ</v>
          </cell>
        </row>
        <row r="34">
          <cell r="B34" t="str">
            <v>FALLAS GÓMEZ FABIOLA FRANCHESCA</v>
          </cell>
        </row>
        <row r="35">
          <cell r="B35" t="str">
            <v>BARBOZA CASTRO DIANA CAROLINA</v>
          </cell>
        </row>
        <row r="36">
          <cell r="B36" t="str">
            <v>DIAZ DIAZ MARIA GABRIELA</v>
          </cell>
        </row>
        <row r="37">
          <cell r="B37" t="str">
            <v>GARRO ARIAS KIMBERLY</v>
          </cell>
        </row>
        <row r="38">
          <cell r="B38" t="str">
            <v>ARMAS GONZALEZ IRENE</v>
          </cell>
        </row>
        <row r="39">
          <cell r="B39" t="str">
            <v>CAMPOS MEJICANO NOEMY</v>
          </cell>
        </row>
        <row r="40">
          <cell r="B40" t="str">
            <v>HERNÁNDEZ ROJAS VERÓNICA</v>
          </cell>
        </row>
        <row r="41">
          <cell r="B41" t="str">
            <v>JIMÉNEZ GODOY ALEJANDRO</v>
          </cell>
        </row>
        <row r="42">
          <cell r="B42" t="str">
            <v>MENDEZ VARGAS GRETTEL</v>
          </cell>
        </row>
        <row r="43">
          <cell r="B43" t="str">
            <v>MUÑOZ RIVERA JORGE</v>
          </cell>
        </row>
        <row r="44">
          <cell r="B44" t="str">
            <v>ROJAS VEGA JORGE ENRIQUE</v>
          </cell>
        </row>
        <row r="45">
          <cell r="B45" t="str">
            <v>ARIAS ALVARADO SILVIA ELENA</v>
          </cell>
        </row>
        <row r="46">
          <cell r="B46" t="str">
            <v>CARVAJAL RUIZ TABATA</v>
          </cell>
        </row>
        <row r="47">
          <cell r="B47" t="str">
            <v>FERNÁNDEZ CORDERO ANA LORENA</v>
          </cell>
        </row>
        <row r="48">
          <cell r="B48" t="str">
            <v>MORA MORA WILLIAM</v>
          </cell>
        </row>
        <row r="49">
          <cell r="B49" t="str">
            <v>ROJAS MONGE VÍCTOR MANUEL</v>
          </cell>
        </row>
        <row r="50">
          <cell r="B50" t="str">
            <v>ARAYA MARRONI ALEJANDRA</v>
          </cell>
        </row>
        <row r="51">
          <cell r="B51" t="str">
            <v>DIAZ FAJARDO DANIELA DE LOS ANGEL</v>
          </cell>
        </row>
        <row r="52">
          <cell r="B52" t="str">
            <v>MADRIGAL HIDALGO JUAN JOSÉ</v>
          </cell>
        </row>
        <row r="53">
          <cell r="B53" t="str">
            <v>MUÑOZ RAMIREZ RAFAEL</v>
          </cell>
        </row>
        <row r="54">
          <cell r="B54" t="str">
            <v>ZUÑIGA RIVAS ALBERTO JESUS</v>
          </cell>
        </row>
        <row r="55">
          <cell r="B55" t="str">
            <v>ALFARO ALFARO SEIDY MARÍA</v>
          </cell>
        </row>
        <row r="56">
          <cell r="B56" t="str">
            <v>CERDAS LÓPEZ MAXIMILIANO FRANCISCO</v>
          </cell>
        </row>
        <row r="57">
          <cell r="B57" t="str">
            <v>ESQUIVEL CHINCHILLA MARLENY</v>
          </cell>
        </row>
        <row r="58">
          <cell r="B58" t="str">
            <v>VILLEGAS SÁNCHEZ NATALIA</v>
          </cell>
        </row>
        <row r="59">
          <cell r="B59" t="str">
            <v>NAVARRO QUIRÓS NURIA VIRGINIA</v>
          </cell>
        </row>
        <row r="60">
          <cell r="B60" t="str">
            <v>SANCHEZ ANCHIA CRISTINA</v>
          </cell>
        </row>
        <row r="61">
          <cell r="B61" t="str">
            <v>SOLÍS CAMPOS PABLO ANDRÉS</v>
          </cell>
        </row>
        <row r="62">
          <cell r="B62" t="str">
            <v>ZÚÑIGA OBANDO SEIDY DIANA</v>
          </cell>
        </row>
        <row r="63">
          <cell r="B63" t="str">
            <v>AGUILAR ROMERO NATALI PAOLA</v>
          </cell>
        </row>
        <row r="64">
          <cell r="B64" t="str">
            <v>DALORZO CHINCHILLA WILLIAM</v>
          </cell>
        </row>
        <row r="65">
          <cell r="B65" t="str">
            <v>BENAVIDES BARRANTES LUIS DAVID</v>
          </cell>
        </row>
        <row r="66">
          <cell r="B66" t="str">
            <v>PORRAS JIMÉNEZ VINICIO</v>
          </cell>
        </row>
        <row r="67">
          <cell r="B67" t="str">
            <v>VARGAS MONTENEGRO ROCÍO</v>
          </cell>
        </row>
      </sheetData>
      <sheetData sheetId="6">
        <row r="3">
          <cell r="B3" t="str">
            <v>_0_REMUNERACION</v>
          </cell>
        </row>
        <row r="4">
          <cell r="B4" t="str">
            <v>_1_SERVICIOS</v>
          </cell>
        </row>
        <row r="5">
          <cell r="B5" t="str">
            <v>_2_MATERIALES_Y_SUMINISTROS</v>
          </cell>
        </row>
        <row r="6">
          <cell r="B6" t="str">
            <v>_3_INTERESES_Y_COMISIONES</v>
          </cell>
        </row>
        <row r="7">
          <cell r="B7" t="str">
            <v>_4_ACTIVOS_FINANCIEROS</v>
          </cell>
        </row>
        <row r="8">
          <cell r="B8" t="str">
            <v>_5_BIENES_DURADEROS</v>
          </cell>
        </row>
        <row r="9">
          <cell r="B9" t="str">
            <v>_6_TRANSFERENCIAS_CORRIENTES</v>
          </cell>
        </row>
        <row r="10">
          <cell r="B10" t="str">
            <v>_7_TRANSFERENCIAS_DE_CAPITAL</v>
          </cell>
        </row>
        <row r="11">
          <cell r="B11" t="str">
            <v>_8_AMORTIZACION</v>
          </cell>
        </row>
        <row r="12">
          <cell r="B12" t="str">
            <v>_9_CUENTAS_ESPECIALES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escenarios"/>
      <sheetName val="TD pre 2020"/>
      <sheetName val="PRE-2020"/>
      <sheetName val="ajustes por improbación"/>
      <sheetName val="Tablas"/>
      <sheetName val="ACTIVIDADES 2018"/>
      <sheetName val="Hoja2"/>
      <sheetName val="partidas"/>
    </sheetNames>
    <sheetDataSet>
      <sheetData sheetId="0" refreshError="1"/>
      <sheetData sheetId="1" refreshError="1"/>
      <sheetData sheetId="2">
        <row r="35">
          <cell r="D35" t="str">
            <v>Salarios</v>
          </cell>
        </row>
      </sheetData>
      <sheetData sheetId="3" refreshError="1"/>
      <sheetData sheetId="4" refreshError="1"/>
      <sheetData sheetId="5" refreshError="1"/>
      <sheetData sheetId="6">
        <row r="4">
          <cell r="B4" t="str">
            <v>Dirección de Soporte Administrativo</v>
          </cell>
        </row>
        <row r="5">
          <cell r="B5" t="str">
            <v>Unidad de Finanzas</v>
          </cell>
        </row>
        <row r="6">
          <cell r="B6" t="str">
            <v>Unidad de Gestión del Desarrollo Humano</v>
          </cell>
        </row>
        <row r="7">
          <cell r="B7" t="str">
            <v>Unidad de Tecnologías de la Información</v>
          </cell>
        </row>
        <row r="8">
          <cell r="B8" t="str">
            <v>Unidad de Recursos Materiales y Servicios</v>
          </cell>
        </row>
        <row r="9">
          <cell r="B9" t="str">
            <v>Secretaría Ejecutiva</v>
          </cell>
        </row>
        <row r="10">
          <cell r="B10" t="str">
            <v>Asesoría Legal</v>
          </cell>
        </row>
        <row r="11">
          <cell r="B11" t="str">
            <v>Unidad de Planificación</v>
          </cell>
        </row>
        <row r="12">
          <cell r="B12" t="str">
            <v>Auditoría Interna</v>
          </cell>
        </row>
        <row r="13">
          <cell r="B13" t="str">
            <v>Dirección de Promoción</v>
          </cell>
        </row>
        <row r="14">
          <cell r="B14" t="str">
            <v>Unidad de Gestión del Financiamiento</v>
          </cell>
        </row>
        <row r="16">
          <cell r="B16" t="str">
            <v>Unidad de Evaluación Técnica</v>
          </cell>
        </row>
        <row r="17">
          <cell r="B17" t="str">
            <v>Unidad de Vinculación y Asesoría</v>
          </cell>
        </row>
        <row r="18">
          <cell r="B18" t="str">
            <v>Unidad de Gestión de la Información</v>
          </cell>
        </row>
        <row r="19">
          <cell r="B19" t="str">
            <v>Comisión de Ética y Valores</v>
          </cell>
        </row>
        <row r="20">
          <cell r="B20" t="str">
            <v>Comisión de Salud y Seguridad Ocupacional</v>
          </cell>
        </row>
        <row r="21">
          <cell r="B21" t="str">
            <v>Comisión de Gestión Ambiental</v>
          </cell>
        </row>
      </sheetData>
      <sheetData sheetId="7">
        <row r="3">
          <cell r="B3" t="str">
            <v>_0_REMUNERACION</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escenarios"/>
      <sheetName val="TD pre 2020"/>
      <sheetName val="PRE-2020"/>
      <sheetName val="ajustes por improbación"/>
      <sheetName val="Tablas"/>
      <sheetName val="ACTIVIDADES 2018"/>
      <sheetName val="Hoja2"/>
      <sheetName val="partidas"/>
    </sheetNames>
    <sheetDataSet>
      <sheetData sheetId="0"/>
      <sheetData sheetId="1"/>
      <sheetData sheetId="2"/>
      <sheetData sheetId="3"/>
      <sheetData sheetId="4"/>
      <sheetData sheetId="5"/>
      <sheetData sheetId="6">
        <row r="4">
          <cell r="B4" t="str">
            <v>Dirección de Soporte Administrativo</v>
          </cell>
        </row>
        <row r="5">
          <cell r="B5" t="str">
            <v>Unidad de Finanzas</v>
          </cell>
        </row>
        <row r="6">
          <cell r="B6" t="str">
            <v>Unidad de Gestión del Desarrollo Humano</v>
          </cell>
        </row>
        <row r="7">
          <cell r="B7" t="str">
            <v>Unidad de Tecnologías de la Información</v>
          </cell>
        </row>
        <row r="8">
          <cell r="B8" t="str">
            <v>Unidad de Recursos Materiales y Servicios</v>
          </cell>
        </row>
        <row r="9">
          <cell r="B9" t="str">
            <v>Secretaría Ejecutiva</v>
          </cell>
        </row>
        <row r="10">
          <cell r="B10" t="str">
            <v>Asesoría Legal</v>
          </cell>
        </row>
        <row r="11">
          <cell r="B11" t="str">
            <v>Unidad de Planificación</v>
          </cell>
        </row>
        <row r="12">
          <cell r="B12" t="str">
            <v>Auditoría Interna</v>
          </cell>
        </row>
        <row r="13">
          <cell r="B13" t="str">
            <v>Dirección de Promoción</v>
          </cell>
        </row>
        <row r="14">
          <cell r="B14" t="str">
            <v>Unidad de Gestión del Financiamiento</v>
          </cell>
        </row>
        <row r="16">
          <cell r="B16" t="str">
            <v>Unidad de Evaluación Técnica</v>
          </cell>
        </row>
        <row r="17">
          <cell r="B17" t="str">
            <v>Unidad de Vinculación y Asesoría</v>
          </cell>
        </row>
        <row r="18">
          <cell r="B18" t="str">
            <v>Unidad de Gestión de la Información</v>
          </cell>
        </row>
        <row r="19">
          <cell r="B19" t="str">
            <v>Comisión de Ética y Valores</v>
          </cell>
        </row>
        <row r="20">
          <cell r="B20" t="str">
            <v>Comisión de Salud y Seguridad Ocupacional</v>
          </cell>
        </row>
        <row r="21">
          <cell r="B21" t="str">
            <v>Comisión de Gestión Ambiental</v>
          </cell>
        </row>
      </sheetData>
      <sheetData sheetId="7"/>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eidy Zuniga" refreshedDate="44475.762396990744" createdVersion="6" refreshedVersion="6" minRefreshableVersion="3" recordCount="107" xr:uid="{DCBF97C0-1E73-4CA2-ACAB-1D8266C51B36}">
  <cacheSource type="worksheet">
    <worksheetSource name="Tabla14"/>
  </cacheSource>
  <cacheFields count="26">
    <cacheField name="Partida" numFmtId="0">
      <sharedItems/>
    </cacheField>
    <cacheField name="Grupo" numFmtId="0">
      <sharedItems containsBlank="1"/>
    </cacheField>
    <cacheField name="Subpartida" numFmtId="0">
      <sharedItems/>
    </cacheField>
    <cacheField name="Escenario 5: Monto ajustado aprobado por la CGR" numFmtId="167">
      <sharedItems containsString="0" containsBlank="1" containsNumber="1" minValue="0" maxValue="317258004.00999999"/>
    </cacheField>
    <cacheField name="Modificación 01-2021" numFmtId="167">
      <sharedItems containsString="0" containsBlank="1" containsNumber="1" containsInteger="1" minValue="-3380000" maxValue="2330000"/>
    </cacheField>
    <cacheField name="MN01-2021" numFmtId="167">
      <sharedItems containsString="0" containsBlank="1" containsNumber="1" minValue="-10439698.82" maxValue="10439698.82"/>
    </cacheField>
    <cacheField name="MN02-2022" numFmtId="167">
      <sharedItems containsString="0" containsBlank="1" containsNumber="1" containsInteger="1" minValue="-435000" maxValue="435000"/>
    </cacheField>
    <cacheField name="Modificación 02-2021" numFmtId="167">
      <sharedItems containsString="0" containsBlank="1" containsNumber="1" minValue="-25000000" maxValue="25000000"/>
    </cacheField>
    <cacheField name="Modificación 03-2021" numFmtId="167">
      <sharedItems containsString="0" containsBlank="1" containsNumber="1" containsInteger="1" minValue="-2700000" maxValue="5630000"/>
    </cacheField>
    <cacheField name="PE-01-2021" numFmtId="167">
      <sharedItems containsString="0" containsBlank="1" containsNumber="1" minValue="-81098367.010000005" maxValue="81098367.010000005"/>
    </cacheField>
    <cacheField name="MN03-20221" numFmtId="167">
      <sharedItems containsString="0" containsBlank="1" containsNumber="1" containsInteger="1" minValue="-104553" maxValue="104553"/>
    </cacheField>
    <cacheField name="Modificación 04-2021" numFmtId="167">
      <sharedItems containsString="0" containsBlank="1" containsNumber="1" minValue="-20979953" maxValue="25018140"/>
    </cacheField>
    <cacheField name="MN04-202212" numFmtId="167">
      <sharedItems containsString="0" containsBlank="1" containsNumber="1" minValue="-595357.31000000006" maxValue="595357.31000000006"/>
    </cacheField>
    <cacheField name="Presupuesto total" numFmtId="167">
      <sharedItems containsSemiMixedTypes="0" containsString="0" containsNumber="1" minValue="0" maxValue="262603199"/>
    </cacheField>
    <cacheField name="Resevas" numFmtId="167">
      <sharedItems containsString="0" containsBlank="1" containsNumber="1" minValue="0" maxValue="31903197.010000002"/>
    </cacheField>
    <cacheField name="Compromisos " numFmtId="167">
      <sharedItems containsString="0" containsBlank="1" containsNumber="1" minValue="0" maxValue="45224199"/>
    </cacheField>
    <cacheField name="Ejecutado" numFmtId="167">
      <sharedItems containsString="0" containsBlank="1" containsNumber="1" minValue="0" maxValue="261159637"/>
    </cacheField>
    <cacheField name="Saldo disponible" numFmtId="167">
      <sharedItems containsSemiMixedTypes="0" containsString="0" containsNumber="1" minValue="0" maxValue="61474805.349999994"/>
    </cacheField>
    <cacheField name="Fuente de Financiamiento" numFmtId="0">
      <sharedItems count="9">
        <s v="001 Transferencias corrientes Ley 5048 CONICIT"/>
        <s v="001 Transferencias corrientes 3% Propyme"/>
        <s v="924 Superavit específico 3% Propyme"/>
        <s v="900 Superavit libre Ley 5048 CONICIT"/>
        <s v="001 Transferencias corrientes Ley 7169 Fondo de Incentivos"/>
        <s v="921 Superavit específico Ley 7169 Fondo de Incentivos"/>
        <s v="001 Transferencias corrientes Ley 9028 Tabaco"/>
        <s v="926 Superavit específico Ley 9028 Tabaco"/>
        <s v="001 Transferencias corrientes Ley 8262 Propyme"/>
      </sharedItems>
    </cacheField>
    <cacheField name="Programa presupuestario" numFmtId="0">
      <sharedItems/>
    </cacheField>
    <cacheField name="Centro costos" numFmtId="0">
      <sharedItems containsBlank="1"/>
    </cacheField>
    <cacheField name="Código Meta Sistema Administrativo" numFmtId="0">
      <sharedItems/>
    </cacheField>
    <cacheField name="Nombre Meta Sistema Administrativo" numFmtId="0">
      <sharedItems containsBlank="1"/>
    </cacheField>
    <cacheField name="Código Meta Planificación POI" numFmtId="0">
      <sharedItems/>
    </cacheField>
    <cacheField name="Meta POI" numFmtId="0">
      <sharedItems containsBlank="1"/>
    </cacheField>
    <cacheField name="Justificación detallada de la solicitud de presupuesto, en la medida de lo posible indique los parámetros utilizados para la estimación.2"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7">
  <r>
    <s v="_0_REMUNERACION"/>
    <s v="0.01 REMUNERACIONES BÁSICAS"/>
    <s v="0.01.01 Sueldos para cargos fijos"/>
    <n v="161461800"/>
    <m/>
    <m/>
    <m/>
    <m/>
    <n v="-2500000"/>
    <n v="-1000000"/>
    <m/>
    <n v="-4000000"/>
    <m/>
    <n v="153961800"/>
    <m/>
    <m/>
    <n v="106882291.67"/>
    <n v="47079508.329999998"/>
    <x v="0"/>
    <s v="1 Promoción de la Ciencia, Tecnología e Innovación"/>
    <s v="01-02 Dirección de Promoción de Ciencia, Tecnología e Innovación"/>
    <s v="DP0101"/>
    <s v="Ejecutar 90% PRESU-planilla TC-5048 DP"/>
    <s v="DP0101"/>
    <s v="Ejecutar 90% de la planilla de la Dirección de Promoción"/>
    <s v="Corresponde a salarios para el año 2021. No se considera costo de vida para el año 2021.  Se considera costo de vida del 2020, según lo indicado en oficio DGPN-0233-2020.  Programa 1"/>
  </r>
  <r>
    <s v="_0_REMUNERACION"/>
    <s v="0.01 REMUNERACIONES BÁSICAS"/>
    <s v="0.01.01 Sueldos para cargos fijos"/>
    <n v="219650232"/>
    <m/>
    <m/>
    <m/>
    <m/>
    <n v="-2700000"/>
    <m/>
    <m/>
    <n v="-3250000"/>
    <m/>
    <n v="213700232"/>
    <m/>
    <m/>
    <n v="152225426.65000001"/>
    <n v="61474805.349999994"/>
    <x v="0"/>
    <s v="2 Gestión Administrativa"/>
    <s v="02-06 Dirección de Soporte Administrativo"/>
    <s v="DSA0101"/>
    <s v="Ejecutar 90% PRESU-planilla TC-5048 DSA"/>
    <s v="SA0101"/>
    <s v="Ejecutar 90% de la planilla de Gestion Administrativa"/>
    <s v="Corresponde a salarios para el año 2021. No se considera costo de vida para el año 2021.  Se considera costo de vida del 2020, según lo indicado en oficio DGPN-0233-2020. Programa 2"/>
  </r>
  <r>
    <s v="_0_REMUNERACION"/>
    <s v="0.01 REMUNERACIONES BÁSICAS"/>
    <s v="0.02.01 Tiempo extraordinario"/>
    <m/>
    <m/>
    <m/>
    <m/>
    <m/>
    <n v="5000000"/>
    <m/>
    <m/>
    <m/>
    <m/>
    <n v="5000000"/>
    <m/>
    <m/>
    <n v="1364125.76"/>
    <n v="3635874.24"/>
    <x v="0"/>
    <s v="2 Gestión Administrativa"/>
    <s v="02-06 Dirección de Soporte Administrativo"/>
    <s v="DSA0101"/>
    <s v="Ejecutar 90% PRESU-planilla TC-5048 DSA"/>
    <s v="SA0101"/>
    <s v="Ejecutar 90% de la planilla de Gestion Administrativa"/>
    <s v="Tiempo extraordinario: cuentas del BNCR, NICSP y reclamos administrativos"/>
  </r>
  <r>
    <s v="_0_REMUNERACION"/>
    <s v="0.01 REMUNERACIONES BÁSICAS"/>
    <s v="0.01.05 Suplencias"/>
    <n v="0"/>
    <m/>
    <m/>
    <m/>
    <n v="1100000"/>
    <m/>
    <m/>
    <m/>
    <n v="1000000"/>
    <m/>
    <n v="2100000"/>
    <m/>
    <m/>
    <n v="0"/>
    <n v="2100000"/>
    <x v="0"/>
    <s v="1 Promoción de la Ciencia, Tecnología e Innovación"/>
    <s v="DP0101"/>
    <s v="DP0101"/>
    <s v="Ejecutar 90% PRESU-planilla TC-5048 DP"/>
    <s v="DP0101"/>
    <s v="Ejecutar 90% de la planilla de la Dirección de Promoción"/>
    <s v="Para contratación de personal sustituto para suplir a colaboradores en el eventual caso de que se presenten incapacidades por COVID-19, incapacidad por enfermedad, licencias, vacaciones prolongadas y otros."/>
  </r>
  <r>
    <s v="_0_REMUNERACION"/>
    <s v="0.01 REMUNERACIONES BÁSICAS"/>
    <s v="0.01.05 Suplencias"/>
    <n v="0"/>
    <m/>
    <m/>
    <m/>
    <n v="1100000"/>
    <m/>
    <m/>
    <m/>
    <n v="3000000"/>
    <m/>
    <n v="4100000"/>
    <m/>
    <m/>
    <n v="1247000"/>
    <n v="2853000"/>
    <x v="0"/>
    <s v="2 Gestión Administrativa"/>
    <s v="02-06 Dirección de Soporte Administrativo"/>
    <s v="DSA0101"/>
    <s v="Ejecutar 90% PRESU-planilla TC-5048 DSA"/>
    <s v="SA0101"/>
    <s v="Ejecutar 90% de la planilla de Gestion Administrativa"/>
    <s v="Para contratación de personal sustituto para suplir a colaboradores en el eventual caso de que se presenten incapacidades por COVID-19, incapacidad por enfermedad, licencias, vacaciones prolongadas y otros."/>
  </r>
  <r>
    <s v="_0_REMUNERACION"/>
    <s v="0.02 REMUNERACIONES EVENTUALES"/>
    <s v="0.02.05 Dietas"/>
    <n v="7200000"/>
    <m/>
    <m/>
    <m/>
    <m/>
    <m/>
    <m/>
    <m/>
    <m/>
    <m/>
    <n v="7200000"/>
    <n v="0"/>
    <n v="0"/>
    <n v="5173113.6100000003"/>
    <n v="2026886.3899999997"/>
    <x v="0"/>
    <s v="2 Gestión Administrativa"/>
    <s v="02-02 Secretaría Ejecutiva"/>
    <s v="SE0101"/>
    <s v="Ejecutar 90% PRESU TC 5048 SE"/>
    <s v="SE0101"/>
    <s v="Ejecutar el 90% del Plan de Trabajo de la Secretaría Ejecutiva."/>
    <s v="Pago de dieta a los señores miembros del Consejo Directo, se contemplo ese monto asumiendo que normalmente se realizan 44 sesiones al año"/>
  </r>
  <r>
    <s v="_0_REMUNERACION"/>
    <s v="0.03 INCENTIVOS SALARIALES"/>
    <s v="0.03.01 Retribución por años servidos"/>
    <n v="71206212"/>
    <m/>
    <m/>
    <m/>
    <m/>
    <n v="-2000000"/>
    <n v="-393722.8"/>
    <m/>
    <m/>
    <m/>
    <n v="68812489.200000003"/>
    <m/>
    <m/>
    <n v="45710904.740000002"/>
    <n v="23101584.460000001"/>
    <x v="0"/>
    <s v="1 Promoción de la Ciencia, Tecnología e Innovación"/>
    <s v="01-02 Dirección de Promoción de Ciencia, Tecnología e Innovación"/>
    <s v="DP0101"/>
    <s v="Ejecutar 90% PRESU-planilla TC-5048 DP"/>
    <s v="DP0101"/>
    <s v="Ejecutar 90% de la planilla de la Dirección de Promoción"/>
    <s v="Corresponde al pago de anualidades pr años servidos. Programa 1"/>
  </r>
  <r>
    <s v="_0_REMUNERACION"/>
    <s v="0.03 INCENTIVOS SALARIALES"/>
    <s v="0.03.01 Retribución por años servidos"/>
    <n v="64878924"/>
    <m/>
    <m/>
    <m/>
    <m/>
    <n v="-500000"/>
    <m/>
    <m/>
    <n v="-850000"/>
    <m/>
    <n v="63528924"/>
    <m/>
    <m/>
    <n v="44138129.439999998"/>
    <n v="19390794.560000002"/>
    <x v="0"/>
    <s v="2 Gestión Administrativa"/>
    <s v="02-06 Dirección de Soporte Administrativo"/>
    <s v="DSA0101"/>
    <s v="Ejecutar 90% PRESU-planilla TC-5048 DSA"/>
    <s v="SA0101"/>
    <s v="Ejecutar 90% de la planilla de Gestion Administrativa"/>
    <s v="Corresponde al pago de anualidades pr años servidos. Programa 2"/>
  </r>
  <r>
    <s v="_0_REMUNERACION"/>
    <s v="0.03 INCENTIVOS SALARIALES"/>
    <s v="0.03.02 Restricción al ejercicio liberal de la profesión"/>
    <n v="76985910"/>
    <m/>
    <m/>
    <m/>
    <m/>
    <n v="-1000000"/>
    <m/>
    <m/>
    <n v="-1000000"/>
    <m/>
    <n v="74985910"/>
    <m/>
    <m/>
    <n v="50518600.420000002"/>
    <n v="24467309.579999998"/>
    <x v="0"/>
    <s v="1 Promoción de la Ciencia, Tecnología e Innovación"/>
    <s v="01-02 Dirección de Promoción de Ciencia, Tecnología e Innovación"/>
    <s v="DP0101"/>
    <s v="Ejecutar 90% PRESU-planilla TC-5048 DP"/>
    <s v="DP0101"/>
    <s v="Ejecutar 90% de la planilla de la Dirección de Promoción"/>
    <s v="Corresponde al pago de Dedicación Exclusiva o Prohibición. Es un porcentaje del salario base.  Programa 1"/>
  </r>
  <r>
    <s v="_0_REMUNERACION"/>
    <s v="0.03 INCENTIVOS SALARIALES"/>
    <s v="0.03.02 Restricción al ejercicio liberal de la profesión"/>
    <n v="73066170"/>
    <m/>
    <m/>
    <m/>
    <m/>
    <n v="-2000000"/>
    <n v="-2500000"/>
    <m/>
    <n v="-350000"/>
    <m/>
    <n v="68216170"/>
    <m/>
    <m/>
    <n v="46647157.950000003"/>
    <n v="21569012.049999997"/>
    <x v="0"/>
    <s v="2 Gestión Administrativa"/>
    <s v="02-06 Dirección de Soporte Administrativo"/>
    <s v="DSA0101"/>
    <s v="Ejecutar 90% PRESU-planilla TC-5048 DSA"/>
    <s v="SA0101"/>
    <s v="Ejecutar 90% de la planilla de Gestion Administrativa"/>
    <s v="Corresponde al pago de Dedicación Exclusiva o Prohibición. Es un porcentaje del salario base.  Programa 2"/>
  </r>
  <r>
    <s v="_0_REMUNERACION"/>
    <s v="0.03 INCENTIVOS SALARIALES"/>
    <s v="0.03.03 Decimotercer mes"/>
    <n v="30553823.989999998"/>
    <m/>
    <m/>
    <m/>
    <m/>
    <m/>
    <m/>
    <m/>
    <m/>
    <m/>
    <n v="30553823.989999998"/>
    <m/>
    <m/>
    <n v="0"/>
    <n v="30553823.989999998"/>
    <x v="0"/>
    <s v="1 Promoción de la Ciencia, Tecnología e Innovación"/>
    <s v="01-02 Dirección de Promoción de Ciencia, Tecnología e Innovación"/>
    <s v="DP0101"/>
    <s v="Ejecutar 90% PRESU-planilla TC-5048 DP"/>
    <s v="DP0101"/>
    <s v="Ejecutar 90% de la planilla de la Dirección de Promoción"/>
    <s v="Corresponde al pago de aguinaldo anual.  Corresponde al 8,33333 del salario devengado. Porgrama 1"/>
  </r>
  <r>
    <s v="_0_REMUNERACION"/>
    <s v="0.03 INCENTIVOS SALARIALES"/>
    <s v="0.03.03 Decimotercer mes"/>
    <n v="34179769.380000003"/>
    <m/>
    <m/>
    <m/>
    <m/>
    <m/>
    <m/>
    <m/>
    <m/>
    <m/>
    <n v="34179769.380000003"/>
    <m/>
    <m/>
    <n v="0"/>
    <n v="34179769.380000003"/>
    <x v="0"/>
    <s v="2 Gestión Administrativa"/>
    <s v="02-06 Dirección de Soporte Administrativo"/>
    <s v="DSA0101"/>
    <s v="Ejecutar 90% PRESU-planilla TC-5048 DSA"/>
    <s v="SA0101"/>
    <s v="Ejecutar 90% de la planilla de Gestion Administrativa"/>
    <s v="Corresponde al pago de aguinaldo anual.  Corresponde al 8,33333 del salario devengado. Porgrama 2"/>
  </r>
  <r>
    <s v="_0_REMUNERACION"/>
    <s v="0.03 INCENTIVOS SALARIALES"/>
    <s v="0.03.04 Salario escolar"/>
    <n v="28193115.91"/>
    <m/>
    <m/>
    <m/>
    <n v="-2200000"/>
    <m/>
    <m/>
    <m/>
    <m/>
    <m/>
    <n v="25993115.91"/>
    <m/>
    <m/>
    <n v="25974267.420000002"/>
    <n v="18848.489999998361"/>
    <x v="0"/>
    <s v="1 Promoción de la Ciencia, Tecnología e Innovación"/>
    <s v="01-02 Dirección de Promoción de Ciencia, Tecnología e Innovación"/>
    <s v="DP0101"/>
    <s v="Ejecutar 90% PRESU-planilla TC-5048 DP"/>
    <s v="DP0101"/>
    <s v="Ejecutar 90% de la planilla de la Dirección de Promoción"/>
    <s v="Corresponde al pago del salario escolar.  Corresponde al 8.33% del salario devengado.  Programa 1"/>
  </r>
  <r>
    <s v="_0_REMUNERACION"/>
    <s v="0.03 INCENTIVOS SALARIALES"/>
    <s v="0.03.04 Salario escolar"/>
    <n v="31538906.559999999"/>
    <m/>
    <m/>
    <m/>
    <n v="-500000"/>
    <n v="-2430000"/>
    <m/>
    <m/>
    <m/>
    <m/>
    <n v="28608906.559999999"/>
    <m/>
    <m/>
    <n v="28608521.300000001"/>
    <n v="385.25999999791384"/>
    <x v="0"/>
    <s v="2 Gestión Administrativa"/>
    <s v="02-06 Dirección de Soporte Administrativo"/>
    <s v="DSA0101"/>
    <s v="Ejecutar 90% PRESU-planilla TC-5048 DSA"/>
    <s v="SA0101"/>
    <s v="Ejecutar 90% de la planilla de Gestion Administrativa"/>
    <s v="Corresponde al pago del salario escolar.  Corresponde al 8.33% del salario devengado.  Programa 2"/>
  </r>
  <r>
    <s v="_0_REMUNERACION"/>
    <s v="0.03 INCENTIVOS SALARIALES"/>
    <s v="0.03.99 Otros incentivos salariales"/>
    <n v="28298850"/>
    <m/>
    <m/>
    <m/>
    <m/>
    <n v="-2000000"/>
    <n v="-2000000"/>
    <m/>
    <m/>
    <m/>
    <n v="24298850"/>
    <m/>
    <m/>
    <n v="15925926.029999999"/>
    <n v="8372923.9700000007"/>
    <x v="0"/>
    <s v="1 Promoción de la Ciencia, Tecnología e Innovación"/>
    <s v="01-02 Dirección de Promoción de Ciencia, Tecnología e Innovación"/>
    <s v="DP0101"/>
    <s v="Ejecutar 90% PRESU-planilla TC-5048 DP"/>
    <s v="DP0101"/>
    <s v="Ejecutar 90% de la planilla de la Dirección de Promoción"/>
    <s v="Corresonde al pago de Carrera Profesional.  El valor del punto es de ¢2.273,00.  Porgrama 1"/>
  </r>
  <r>
    <s v="_0_REMUNERACION"/>
    <s v="0.03 INCENTIVOS SALARIALES"/>
    <s v="0.03.99 Otros incentivos salariales"/>
    <n v="20523000"/>
    <m/>
    <m/>
    <m/>
    <m/>
    <m/>
    <n v="-500000"/>
    <m/>
    <m/>
    <m/>
    <n v="20023000"/>
    <m/>
    <m/>
    <n v="12980883.15"/>
    <n v="7042116.8499999996"/>
    <x v="0"/>
    <s v="2 Gestión Administrativa"/>
    <s v="02-06 Dirección de Soporte Administrativo"/>
    <s v="DSA0101"/>
    <s v="Ejecutar 90% PRESU-planilla TC-5048 DSA"/>
    <s v="SA0101"/>
    <s v="Ejecutar 90% de la planilla de Gestion Administrativa"/>
    <s v="Corresonde al pago de Carrera Profesional.  El valor del punto es de ¢2.273,00.  Porgrama 2"/>
  </r>
  <r>
    <s v="_0_REMUNERACION"/>
    <s v="0.04 CONTRIBUCIONES PATRONALES AL DESARROLLO Y LA_x000a_SEGURIDAD SOCIAL"/>
    <s v="0.04.01 Contribución Patronal al Seguro de Salud de la Caja"/>
    <n v="33914744.630000003"/>
    <m/>
    <m/>
    <m/>
    <m/>
    <m/>
    <m/>
    <m/>
    <m/>
    <m/>
    <n v="33914744.630000003"/>
    <m/>
    <m/>
    <n v="22569017.66"/>
    <n v="11345726.970000003"/>
    <x v="0"/>
    <s v="1 Promoción de la Ciencia, Tecnología e Innovación"/>
    <s v="01-02 Dirección de Promoción de Ciencia, Tecnología e Innovación"/>
    <s v="DP0101"/>
    <s v="Ejecutar 90% PRESU-planilla TC-5048 DP"/>
    <s v="DP0101"/>
    <s v="Ejecutar 90% de la planilla de la Dirección de Promoción"/>
    <s v="Corresponde al 9.25% de los salarios devengados.  Programa 1"/>
  </r>
  <r>
    <s v="_0_REMUNERACION"/>
    <s v="0.04 CONTRIBUCIONES PATRONALES AL DESARROLLO Y LA_x000a_SEGURIDAD SOCIAL"/>
    <s v="0.04.01 Contribución Patronal al Seguro de Salud de la Caja"/>
    <n v="37939544.009999998"/>
    <m/>
    <m/>
    <m/>
    <m/>
    <m/>
    <m/>
    <m/>
    <n v="400000"/>
    <m/>
    <n v="38339544.009999998"/>
    <m/>
    <m/>
    <n v="28934151.390000001"/>
    <n v="9405392.6199999973"/>
    <x v="0"/>
    <s v="2 Gestión Administrativa"/>
    <s v="02-06 Dirección de Soporte Administrativo"/>
    <s v="DSA0101"/>
    <s v="Ejecutar 90% PRESU-planilla TC-5048 DSA"/>
    <s v="SA0101"/>
    <s v="Ejecutar 90% de la planilla de Gestion Administrativa"/>
    <s v="Corresponde al 9.25% de los salarios devengados.  Programa 2"/>
  </r>
  <r>
    <s v="_0_REMUNERACION"/>
    <s v="0.04 CONTRIBUCIONES PATRONALES AL DESARROLLO Y LA_x000a_SEGURIDAD SOCIAL"/>
    <s v="0.04.03 Contribución Patronal al Instituto Nacional de Aprendizaje"/>
    <n v="5499688.3200000003"/>
    <m/>
    <m/>
    <m/>
    <m/>
    <m/>
    <m/>
    <m/>
    <m/>
    <m/>
    <n v="5499688.3200000003"/>
    <m/>
    <m/>
    <n v="3659630.06"/>
    <n v="1840058.2600000002"/>
    <x v="0"/>
    <s v="1 Promoción de la Ciencia, Tecnología e Innovación"/>
    <s v="01-02 Dirección de Promoción de Ciencia, Tecnología e Innovación"/>
    <s v="DP0101"/>
    <s v="Ejecutar 90% PRESU-planilla TC-5048 DP"/>
    <s v="DP0101"/>
    <s v="Ejecutar 90% de la planilla de la Dirección de Promoción"/>
    <s v="Corresponde al 1,50% de los salarios devengados.  Programa 1"/>
  </r>
  <r>
    <s v="_0_REMUNERACION"/>
    <s v="0.04 CONTRIBUCIONES PATRONALES AL DESARROLLO Y LA_x000a_SEGURIDAD SOCIAL"/>
    <s v="0.04.03 Contribución Patronal al Instituto Nacional de Aprendizaje"/>
    <n v="6152358.4900000002"/>
    <m/>
    <m/>
    <m/>
    <m/>
    <m/>
    <m/>
    <m/>
    <n v="100000"/>
    <m/>
    <n v="6252358.4900000002"/>
    <m/>
    <m/>
    <n v="4672466.9400000004"/>
    <n v="1579891.5499999998"/>
    <x v="0"/>
    <s v="2 Gestión Administrativa"/>
    <s v="02-06 Dirección de Soporte Administrativo"/>
    <s v="DSA0101"/>
    <s v="Ejecutar 90% PRESU-planilla TC-5048 DSA"/>
    <s v="SA0101"/>
    <s v="Ejecutar 90% de la planilla de Gestion Administrativa"/>
    <s v="Corresponde al 1,50% de los salarios devengados.  Programa 2"/>
  </r>
  <r>
    <s v="_0_REMUNERACION"/>
    <s v="0.04 CONTRIBUCIONES PATRONALES AL DESARROLLO Y LA_x000a_SEGURIDAD SOCIAL"/>
    <s v="0.04.04 Contribución Patronal al Fondo de Desarrollo Social y"/>
    <n v="18332294.399999999"/>
    <m/>
    <m/>
    <m/>
    <m/>
    <m/>
    <m/>
    <m/>
    <m/>
    <m/>
    <n v="18332294.399999999"/>
    <m/>
    <m/>
    <n v="12198767.699999999"/>
    <n v="6133526.6999999993"/>
    <x v="0"/>
    <s v="1 Promoción de la Ciencia, Tecnología e Innovación"/>
    <s v="01-02 Dirección de Promoción de Ciencia, Tecnología e Innovación"/>
    <s v="DP0101"/>
    <s v="Ejecutar 90% PRESU-planilla TC-5048 DP"/>
    <s v="DP0101"/>
    <s v="Ejecutar 90% de la planilla de la Dirección de Promoción"/>
    <s v="Corresponde al 5,0% de los salarios devengados.  Programa 1"/>
  </r>
  <r>
    <s v="_0_REMUNERACION"/>
    <s v="0.04 CONTRIBUCIONES PATRONALES AL DESARROLLO Y LA_x000a_SEGURIDAD SOCIAL"/>
    <s v="0.04.04 Contribución Patronal al Fondo de Desarrollo Social y"/>
    <n v="20507861.629999999"/>
    <m/>
    <m/>
    <m/>
    <m/>
    <m/>
    <m/>
    <m/>
    <n v="150000"/>
    <m/>
    <n v="20657861.629999999"/>
    <m/>
    <m/>
    <n v="15574911.09"/>
    <n v="5082950.5399999991"/>
    <x v="0"/>
    <s v="2 Gestión Administrativa"/>
    <s v="02-06 Dirección de Soporte Administrativo"/>
    <s v="DSA0101"/>
    <s v="Ejecutar 90% PRESU-planilla TC-5048 DSA"/>
    <s v="SA0101"/>
    <s v="Ejecutar 90% de la planilla de Gestion Administrativa"/>
    <s v="Corresponde al 5,0% de los salarios devengados.  Programa 2"/>
  </r>
  <r>
    <s v="_0_REMUNERACION"/>
    <s v="0.04 CONTRIBUCIONES PATRONALES AL DESARROLLO Y LA_x000a_SEGURIDAD SOCIAL"/>
    <s v="0.04.05 Contribución Patronal al Banco Popular y de Desarrollo"/>
    <n v="1833229.44"/>
    <m/>
    <m/>
    <m/>
    <m/>
    <m/>
    <m/>
    <m/>
    <m/>
    <m/>
    <n v="1833229.44"/>
    <m/>
    <m/>
    <n v="1219876.99"/>
    <n v="613352.44999999995"/>
    <x v="0"/>
    <s v="1 Promoción de la Ciencia, Tecnología e Innovación"/>
    <s v="01-02 Dirección de Promoción de Ciencia, Tecnología e Innovación"/>
    <s v="DP0101"/>
    <s v="Ejecutar 90% PRESU-planilla TC-5048 DP"/>
    <s v="DP0101"/>
    <s v="Ejecutar 90% de la planilla de la Dirección de Promoción"/>
    <s v="Corresponde al 0,25% de los salarios devengados.  Programa 1"/>
  </r>
  <r>
    <s v="_0_REMUNERACION"/>
    <s v="0.04 CONTRIBUCIONES PATRONALES AL DESARROLLO Y LA_x000a_SEGURIDAD SOCIAL"/>
    <s v="0.04.05 Contribución Patronal al Banco Popular y de Desarrollo"/>
    <n v="2050786.16"/>
    <m/>
    <m/>
    <m/>
    <m/>
    <m/>
    <m/>
    <m/>
    <n v="100000"/>
    <m/>
    <n v="2150786.16"/>
    <m/>
    <m/>
    <n v="1557482.48"/>
    <n v="593303.68000000017"/>
    <x v="0"/>
    <s v="2 Gestión Administrativa"/>
    <s v="02-06 Dirección de Soporte Administrativo"/>
    <s v="DSA0101"/>
    <s v="Ejecutar 90% PRESU-planilla TC-5048 DSA"/>
    <s v="SA0101"/>
    <s v="Ejecutar 90% de la planilla de Gestion Administrativa"/>
    <s v="Corresponde al 0,25% de los salarios devengados.  Programa 2"/>
  </r>
  <r>
    <s v="_0_REMUNERACION"/>
    <s v="0.05 CONTRIBUCIONES PATRONALES A FONDOS DE PENSIONES Y_x000a_OTROS FONDOS DE CAPITALIZACIÓN"/>
    <s v="0.05.01 Contribución Patronal al Seguro de Pensiones de la Caja"/>
    <n v="19248909.120000001"/>
    <m/>
    <m/>
    <m/>
    <m/>
    <m/>
    <m/>
    <m/>
    <m/>
    <m/>
    <n v="19248909.120000001"/>
    <m/>
    <m/>
    <n v="12807405.57"/>
    <n v="6441503.5500000007"/>
    <x v="0"/>
    <s v="1 Promoción de la Ciencia, Tecnología e Innovación"/>
    <s v="01-02 Dirección de Promoción de Ciencia, Tecnología e Innovación"/>
    <s v="DP0101"/>
    <s v="Ejecutar 90% PRESU-planilla TC-5048 DP"/>
    <s v="DP0101"/>
    <s v="Ejecutar 90% de la planilla de la Dirección de Promoción"/>
    <s v="Corresponde al 5.25% de los salarios devengados. Programa 1"/>
  </r>
  <r>
    <s v="_0_REMUNERACION"/>
    <s v="0.05 CONTRIBUCIONES PATRONALES A FONDOS DE PENSIONES Y_x000a_OTROS FONDOS DE CAPITALIZACIÓN"/>
    <s v="0.05.01 Contribución Patronal al Seguro de Pensiones de la Caja"/>
    <n v="21533254.710000001"/>
    <m/>
    <m/>
    <m/>
    <m/>
    <m/>
    <m/>
    <m/>
    <m/>
    <m/>
    <n v="21533254.710000001"/>
    <m/>
    <m/>
    <n v="16197351.25"/>
    <n v="5335903.4600000009"/>
    <x v="0"/>
    <s v="2 Gestión Administrativa"/>
    <s v="02-06 Dirección de Soporte Administrativo"/>
    <s v="DSA0101"/>
    <s v="Ejecutar 90% PRESU-planilla TC-5048 DSA"/>
    <s v="SA0101"/>
    <s v="Ejecutar 90% de la planilla de Gestion Administrativa"/>
    <s v="Corresponde al 5.25% de los salarios devengados. Programa 2"/>
  </r>
  <r>
    <s v="_0_REMUNERACION"/>
    <s v="0.05 CONTRIBUCIONES PATRONALES A FONDOS DE PENSIONES Y_x000a_OTROS FONDOS DE CAPITALIZACIÓN"/>
    <s v="0.05.02 Aporte Patronal al Régimen Obligatorio de Pensiones"/>
    <n v="5499688.3200000003"/>
    <m/>
    <m/>
    <m/>
    <m/>
    <n v="4500000"/>
    <m/>
    <m/>
    <m/>
    <m/>
    <n v="9999688.3200000003"/>
    <m/>
    <m/>
    <n v="7319260.7199999997"/>
    <n v="2680427.6000000006"/>
    <x v="0"/>
    <s v="1 Promoción de la Ciencia, Tecnología e Innovación"/>
    <s v="01-02 Dirección de Promoción de Ciencia, Tecnología e Innovación"/>
    <s v="DP0101"/>
    <s v="Ejecutar 90% PRESU-planilla TC-5048 DP"/>
    <s v="DP0101"/>
    <s v="Ejecutar 90% de la planilla de la Dirección de Promoción"/>
    <s v="Corresponde al 0,50% de los salarios devengados. Programa 1"/>
  </r>
  <r>
    <s v="_0_REMUNERACION"/>
    <s v="0.05 CONTRIBUCIONES PATRONALES A FONDOS DE PENSIONES Y_x000a_OTROS FONDOS DE CAPITALIZACIÓN"/>
    <s v="0.05.02 Aporte Patronal al Régimen Obligatorio de Pensiones"/>
    <n v="6152358.4900000002"/>
    <m/>
    <m/>
    <m/>
    <m/>
    <n v="5630000"/>
    <m/>
    <m/>
    <n v="450000"/>
    <m/>
    <n v="12232358.49"/>
    <m/>
    <m/>
    <n v="9170720.6300000008"/>
    <n v="3061637.8599999994"/>
    <x v="0"/>
    <s v="2 Gestión Administrativa"/>
    <s v="02-06 Dirección de Soporte Administrativo"/>
    <s v="DSA0101"/>
    <s v="Ejecutar 90% PRESU-planilla TC-5048 DSA"/>
    <s v="SA0101"/>
    <s v="Ejecutar 90% de la planilla de Gestion Administrativa"/>
    <s v="Corresponde al 0,50% de los salarios devengados. Programa 2"/>
  </r>
  <r>
    <s v="_0_REMUNERACION"/>
    <s v="0.05 CONTRIBUCIONES PATRONALES A FONDOS DE PENSIONES Y_x000a_OTROS FONDOS DE CAPITALIZACIÓN"/>
    <s v="0.05.03 Aporte Patronal al Fondo de Capitalización Laboral"/>
    <n v="5499688.3200000003"/>
    <m/>
    <m/>
    <m/>
    <m/>
    <m/>
    <m/>
    <m/>
    <m/>
    <m/>
    <n v="5499688.3200000003"/>
    <m/>
    <m/>
    <n v="3659630.06"/>
    <n v="1840058.2600000002"/>
    <x v="0"/>
    <s v="1 Promoción de la Ciencia, Tecnología e Innovación"/>
    <s v="01-02 Dirección de Promoción de Ciencia, Tecnología e Innovación"/>
    <s v="DP0101"/>
    <s v="Ejecutar 90% PRESU-planilla TC-5048 DP"/>
    <s v="DP0101"/>
    <s v="Ejecutar 90% de la planilla de la Dirección de Promoción"/>
    <s v="Corresponde al 1,0% de los salarios devengados. Programa 1"/>
  </r>
  <r>
    <s v="_0_REMUNERACION"/>
    <s v="0.05 CONTRIBUCIONES PATRONALES A FONDOS DE PENSIONES Y_x000a_OTROS FONDOS DE CAPITALIZACIÓN"/>
    <s v="0.05.03 Aporte Patronal al Fondo de Capitalización Laboral"/>
    <n v="6152358.4900000002"/>
    <m/>
    <m/>
    <m/>
    <m/>
    <m/>
    <m/>
    <m/>
    <n v="250000"/>
    <m/>
    <n v="6402358.4900000002"/>
    <m/>
    <m/>
    <n v="4846694.9400000004"/>
    <n v="1555663.5499999998"/>
    <x v="0"/>
    <s v="2 Gestión Administrativa"/>
    <s v="02-06 Dirección de Soporte Administrativo"/>
    <s v="DSA0101"/>
    <s v="Ejecutar 90% PRESU-planilla TC-5048 DSA"/>
    <s v="SA0101"/>
    <s v="Ejecutar 90% de la planilla de Gestion Administrativa"/>
    <s v="Corresponde al 1,0% de los salarios devengados. Programa 2"/>
  </r>
  <r>
    <s v="_0_REMUNERACION"/>
    <s v="0.05 CONTRIBUCIONES PATRONALES A FONDOS DE PENSIONES Y_x000a_OTROS FONDOS DE CAPITALIZACIÓN"/>
    <s v="0.05.05 Contribución Patronal a fondos administrados por entes"/>
    <n v="19542225.829999998"/>
    <m/>
    <m/>
    <m/>
    <m/>
    <m/>
    <m/>
    <m/>
    <m/>
    <m/>
    <n v="19542225.829999998"/>
    <m/>
    <m/>
    <n v="11890673.970000001"/>
    <n v="7651551.8599999975"/>
    <x v="0"/>
    <s v="1 Promoción de la Ciencia, Tecnología e Innovación"/>
    <s v="01-02 Dirección de Promoción de Ciencia, Tecnología e Innovación"/>
    <s v="DP0101"/>
    <s v="Ejecutar 90% PRESU-planilla TC-5048 DP"/>
    <s v="DP0101"/>
    <s v="Ejecutar 90% de la planilla de la Dirección de Promoción"/>
    <s v="Corresponde al 5.33% del Aporte Patronal a la Asociación Solidarista. Programa 1"/>
  </r>
  <r>
    <s v="_0_REMUNERACION"/>
    <s v="0.05 CONTRIBUCIONES PATRONALES A FONDOS DE PENSIONES Y_x000a_OTROS FONDOS DE CAPITALIZACIÓN"/>
    <s v="0.05.05 Contribución Patronal a fondos administrados por entes"/>
    <n v="21861380.5"/>
    <m/>
    <m/>
    <m/>
    <m/>
    <m/>
    <m/>
    <m/>
    <m/>
    <m/>
    <n v="21861380.5"/>
    <m/>
    <m/>
    <n v="14518806.85"/>
    <n v="7342573.6500000004"/>
    <x v="0"/>
    <s v="2 Gestión Administrativa"/>
    <s v="02-06 Dirección de Soporte Administrativo"/>
    <s v="DSA0101"/>
    <s v="Ejecutar 90% PRESU-planilla TC-5048 DSA"/>
    <s v="SA0101"/>
    <s v="Ejecutar 90% de la planilla de Gestion Administrativa"/>
    <s v="Corresponde al 5.33% del Aporte Patronal a la Asociación Solidarista. Programa 2"/>
  </r>
  <r>
    <s v="_1_SERVICIOS"/>
    <s v="1.01 ALQUILERES"/>
    <s v="1.01.99 Otros alquileres"/>
    <n v="811310"/>
    <m/>
    <m/>
    <m/>
    <m/>
    <m/>
    <m/>
    <m/>
    <m/>
    <m/>
    <n v="811310"/>
    <n v="78683.03"/>
    <n v="0"/>
    <n v="87990.84"/>
    <n v="644636.13"/>
    <x v="0"/>
    <s v="2 Gestión Administrativa"/>
    <s v="02-10- Unidad de Tecnologías de Información y Comunicación"/>
    <s v="TC0101"/>
    <s v="Ejecutar 90% PRESU TC 5048 TIC"/>
    <s v="TC0101"/>
    <s v="Ejecutar el 90% del Plan de Trabajo de la Unidad de TIC"/>
    <s v="Para pago del contrato de medios magnéticos que se tiene con el Banco Nacional para el resguardo de discos externos de respaldo._x000a_Para almacenamiento 1 TB de informacion de trabajo de los usuarios y carpetas compartidas de cada una de las áreas de trabajo, así como de las Bases de datos que se utilizan en los sistemas como apoyo al teletrabajo"/>
  </r>
  <r>
    <s v="_1_SERVICIOS"/>
    <s v="1.02 SERVICIOS BÁSICOS"/>
    <s v="1.02.01 Servicio de agua y alcantarillado"/>
    <n v="1656000"/>
    <m/>
    <m/>
    <m/>
    <m/>
    <m/>
    <m/>
    <m/>
    <n v="-385917.6"/>
    <m/>
    <n v="1270082.3999999999"/>
    <n v="275914"/>
    <n v="0"/>
    <n v="84282"/>
    <n v="909886.39999999991"/>
    <x v="0"/>
    <s v="2 Gestión Administrativa"/>
    <s v="02-09 Unidad Recursos Materiales y Servicios"/>
    <s v="RM0101"/>
    <s v="Ejecutar 90% PRESU TC 5048 RMS"/>
    <s v="RM0101"/>
    <s v="Ejecutar el 90% del Plan de Trabajo de la Unidad de Recursos Materiales y Servicios"/>
    <s v="Pago  del servicio de agua y alcantarillado, el costo se estima de acuerdo al promedio de lo cancelado en el año 2019-2020"/>
  </r>
  <r>
    <s v="_1_SERVICIOS"/>
    <s v="1.02 SERVICIOS BÁSICOS"/>
    <s v="1.02.02 Servicio de energía eléctrica"/>
    <n v="6000000"/>
    <m/>
    <m/>
    <m/>
    <m/>
    <m/>
    <m/>
    <m/>
    <m/>
    <m/>
    <n v="6000000"/>
    <n v="2440905"/>
    <n v="0"/>
    <n v="3318660"/>
    <n v="240435"/>
    <x v="0"/>
    <s v="2 Gestión Administrativa"/>
    <s v="02-09 Unidad Recursos Materiales y Servicios"/>
    <s v="RM0101"/>
    <s v="Ejecutar 90% PRESU TC 5048 RMS"/>
    <s v="RM0101"/>
    <s v="Ejecutar el 90% del Plan de Trabajo de la Unidad de Recursos Materiales y Servicios"/>
    <s v="Pago del servicio de energía eléctrica el costo se estima de acuerdo al promedio de lo cancelado en el año 2019-2020"/>
  </r>
  <r>
    <s v="_1_SERVICIOS"/>
    <s v="1.02 SERVICIOS BÁSICOS"/>
    <s v="1.02.03 Servicio de correo"/>
    <n v="25000"/>
    <m/>
    <m/>
    <m/>
    <m/>
    <m/>
    <m/>
    <m/>
    <m/>
    <m/>
    <n v="25000"/>
    <n v="6072"/>
    <n v="0"/>
    <n v="18928"/>
    <n v="0"/>
    <x v="0"/>
    <s v="2 Gestión Administrativa"/>
    <s v="02-09 Unidad Recursos Materiales y Servicios"/>
    <s v="RM0101"/>
    <s v="Ejecutar 90% PRESU TC 5048 RMS"/>
    <s v="RM0101"/>
    <s v="Ejecutar el 90% del Plan de Trabajo de la Unidad de Recursos Materiales y Servicios"/>
    <s v="Pago del servicio anual de apartado postal 599-2200, Coronado, San José."/>
  </r>
  <r>
    <s v="_1_SERVICIOS"/>
    <s v="1.02 SERVICIOS BÁSICOS"/>
    <s v="1.02.04 Servicio de telecomunicaciones"/>
    <n v="5330356.4400000004"/>
    <m/>
    <m/>
    <m/>
    <m/>
    <m/>
    <m/>
    <m/>
    <m/>
    <n v="-595357.31000000006"/>
    <n v="4734999.1300000008"/>
    <n v="1779516.06"/>
    <n v="0"/>
    <n v="2643499.12"/>
    <n v="311983.95000000065"/>
    <x v="0"/>
    <s v="2 Gestión Administrativa"/>
    <s v="02-09 Unidad Recursos Materiales y Servicios"/>
    <s v="RM0101"/>
    <s v="Ejecutar 90% PRESU TC 5048 RMS"/>
    <s v="RM0101"/>
    <s v="Ejecutar el 90% del Plan de Trabajo de la Unidad de Recursos Materiales y Servicios"/>
    <s v="Pago del servicio de telecomunicaciones (central telefónica, 2 líneas fijas, 2 datacard, 2 líneas celular e internet simétrico)"/>
  </r>
  <r>
    <s v="_1_SERVICIOS"/>
    <s v="1.02 SERVICIOS BÁSICOS"/>
    <s v="1.02.04 Servicio de telecomunicaciones"/>
    <n v="4269643.5599999996"/>
    <m/>
    <m/>
    <m/>
    <m/>
    <m/>
    <m/>
    <m/>
    <m/>
    <n v="595357.31000000006"/>
    <n v="4865000.8699999992"/>
    <n v="0"/>
    <n v="1621133.05"/>
    <n v="3243867.82"/>
    <n v="0"/>
    <x v="0"/>
    <s v="2 Gestión Administrativa"/>
    <s v="02-10- Unidad de Tecnologías de Información y Comunicación"/>
    <s v="TC0101"/>
    <s v="Ejecutar 90% PRESU TC 5048 TIC"/>
    <s v="TC0101"/>
    <s v="Ejecutar el 90% del Plan de Trabajo de la Unidad de TIC"/>
    <s v="Pago internet simétrico"/>
  </r>
  <r>
    <s v="_1_SERVICIOS"/>
    <s v="1.02 SERVICIOS BÁSICOS"/>
    <s v="1.02.99 Otros servicios básicos"/>
    <n v="920000"/>
    <m/>
    <m/>
    <m/>
    <m/>
    <m/>
    <m/>
    <m/>
    <m/>
    <m/>
    <n v="920000"/>
    <n v="251903.9"/>
    <n v="0"/>
    <n v="668096.1"/>
    <n v="0"/>
    <x v="0"/>
    <s v="2 Gestión Administrativa"/>
    <s v="02-09 Unidad Recursos Materiales y Servicios"/>
    <s v="RM0101"/>
    <s v="Ejecutar 90% PRESU TC 5048 RMS"/>
    <s v="RM0101"/>
    <s v="Ejecutar el 90% del Plan de Trabajo de la Unidad de Recursos Materiales y Servicios"/>
    <s v="Pago de impuestos municipales "/>
  </r>
  <r>
    <s v="_1_SERVICIOS"/>
    <s v="1.03 SERVICIOS COMERCIALES Y FINANCIEROS"/>
    <s v="1.03.01 Información"/>
    <n v="0"/>
    <m/>
    <m/>
    <m/>
    <n v="506000"/>
    <m/>
    <m/>
    <m/>
    <m/>
    <m/>
    <n v="506000"/>
    <n v="0"/>
    <n v="0"/>
    <n v="0"/>
    <n v="506000"/>
    <x v="0"/>
    <s v="2 Gestión Administrativa"/>
    <s v="02-02 Secretaría Ejecutiva"/>
    <s v="SE0101"/>
    <s v="Ejecutar 90% PRESU TC 5048 SE"/>
    <s v="SE0101"/>
    <s v="Ejecutar el 90% del Plan de Trabajo de la Secretaría Ejecutiva."/>
    <s v="Para publicación en el Diario Oficial La Gaceta de Reglamentos, Leyes y otros documentos que por normativa deben de publicarse para conocimiento de terceros tal como el proyecto de Ley N°21660 así como otras publicaciones que surjan"/>
  </r>
  <r>
    <s v="_1_SERVICIOS"/>
    <s v="1.03 SERVICIOS COMERCIALES Y FINANCIEROS"/>
    <s v="1.03.01 Información"/>
    <n v="0"/>
    <m/>
    <m/>
    <m/>
    <n v="220000"/>
    <m/>
    <m/>
    <m/>
    <m/>
    <m/>
    <n v="220000"/>
    <n v="0"/>
    <n v="0"/>
    <n v="0"/>
    <n v="220000"/>
    <x v="0"/>
    <s v="2 Gestión Administrativa"/>
    <s v="02-07 Unidad de Finanzas"/>
    <s v="FI0103"/>
    <s v="Ejecutar 90% PRESU TC 5048 FI"/>
    <s v="FI0101"/>
    <s v="Ejecutar el 90% del Plan de Trabajo de la Unidad de Finanzas"/>
    <s v="Para publicación en el Diario Oficial La Gaceta de Reglamentos, Leyes y otros documentos que por normativa deben de publicarse para conocimiento de terceros tal como el Reglamento de Caja Chica así como otras publicaciones que surjan"/>
  </r>
  <r>
    <s v="_1_SERVICIOS"/>
    <s v="1.03 SERVICIOS COMERCIALES Y FINANCIEROS"/>
    <s v="1.03.03 Impresión, encuadernación y otros"/>
    <n v="50000"/>
    <m/>
    <m/>
    <m/>
    <m/>
    <m/>
    <m/>
    <m/>
    <n v="50000"/>
    <m/>
    <n v="100000"/>
    <n v="100000"/>
    <n v="0"/>
    <n v="0"/>
    <n v="0"/>
    <x v="0"/>
    <s v="2 Gestión Administrativa"/>
    <s v="02-07 Unidad de Finanzas"/>
    <s v="FI0103"/>
    <s v="Ejecutar 90% PRESU TC 5048 FI"/>
    <s v="FI0101"/>
    <s v="Ejecutar el 90% del Plan de Trabajo de la Unidad de Finanzas"/>
    <s v="Empastes de libros legales (Inventario y balances, Libro mayor y libro de diario), 16 empastes comprobantes de diario año 2012-2019. La base de cálculo: El costo se establece mediante una cotización de octubre del año 2018, por un costo unitario de ¢6.500 cada empaste, se le aplica un aumento del 5% de inflación anualizada. Los empastes son importantes realizarlos para cumplir con la normas de control interno &quot;Normas sobre sistemas de información&quot;, en las variables 5.4 &quot;Gestión Documental&quot;, 5.5. &quot;Archivo Institucional&quot;.  "/>
  </r>
  <r>
    <s v="_1_SERVICIOS"/>
    <s v="1.03 SERVICIOS COMERCIALES Y FINANCIEROS"/>
    <s v="1.03.03 Impresión, encuadernación y otros"/>
    <n v="60000"/>
    <m/>
    <m/>
    <m/>
    <m/>
    <m/>
    <m/>
    <m/>
    <n v="120000"/>
    <m/>
    <n v="180000"/>
    <n v="135365"/>
    <m/>
    <n v="44635"/>
    <n v="0"/>
    <x v="0"/>
    <s v="2 Gestión Administrativa"/>
    <s v="02-02 Secretaría Ejecutiva"/>
    <s v="SE0101"/>
    <s v="Ejecutar 90% PRESU TC 5048 SE"/>
    <s v="SE0101"/>
    <s v="Ejecutar el 90% del Plan de Trabajo de la Secretaría Ejecutiva."/>
    <s v="Las actas y anexos de actas del Consejo Director deben estar empastadas, de acuerdo a la normativa vigente."/>
  </r>
  <r>
    <s v="_1_SERVICIOS"/>
    <s v="1.03 SERVICIOS COMERCIALES Y FINANCIEROS"/>
    <s v="1.03.06 Comisiones y gastos por servicios financieros y comerciales"/>
    <n v="2760000"/>
    <m/>
    <m/>
    <m/>
    <n v="176000"/>
    <m/>
    <m/>
    <m/>
    <m/>
    <m/>
    <n v="2936000"/>
    <n v="754943.09"/>
    <n v="0"/>
    <n v="2005056.91"/>
    <n v="176000.00000000023"/>
    <x v="0"/>
    <s v="2 Gestión Administrativa"/>
    <s v="02-09 Unidad Recursos Materiales y Servicios"/>
    <s v="RM0101"/>
    <s v="Ejecutar 90% PRESU TC 5048 RMS"/>
    <s v="RM0101"/>
    <s v="Ejecutar el 90% del Plan de Trabajo de la Unidad de Recursos Materiales y Servicios"/>
    <s v="Pago por la utilización del SICOP"/>
  </r>
  <r>
    <s v="_1_SERVICIOS"/>
    <s v="1.03 SERVICIOS COMERCIALES Y FINANCIEROS"/>
    <s v="1.03.06 Comisiones y gastos por servicios financieros y comerciales"/>
    <m/>
    <m/>
    <m/>
    <m/>
    <m/>
    <n v="23750"/>
    <m/>
    <m/>
    <m/>
    <m/>
    <n v="23750"/>
    <m/>
    <m/>
    <m/>
    <n v="23750"/>
    <x v="0"/>
    <s v="1 Promoción de la Ciencia, Tecnología e Innovación"/>
    <s v="01-05 Unidad de Vinculación y Asesoría"/>
    <s v="VA0101"/>
    <s v="Ejecutar 90% PRESU TC 5048 VA"/>
    <s v="VA0101"/>
    <s v="Ejecutar el 90% del Plan de Trabajo de la Unidad de Vinculación y Asesoría"/>
    <s v="Comisión transferencia bancaria pago Interciencia"/>
  </r>
  <r>
    <s v="_1_SERVICIOS"/>
    <s v="1.03 SERVICIOS COMERCIALES Y FINANCIEROS"/>
    <s v="1.03.07 Servicios de transferencia electrónica de información"/>
    <n v="380000"/>
    <m/>
    <m/>
    <m/>
    <m/>
    <m/>
    <m/>
    <m/>
    <n v="120000"/>
    <m/>
    <n v="500000"/>
    <n v="94749.91"/>
    <n v="0"/>
    <n v="405250.09"/>
    <n v="0"/>
    <x v="0"/>
    <s v="2 Gestión Administrativa"/>
    <s v="02-10- Unidad de Tecnologías de Información y Comunicación"/>
    <s v="TC0101"/>
    <s v="Ejecutar 90% PRESU TC 5048 TIC"/>
    <s v="TC0101"/>
    <s v="Ejecutar el 90% del Plan de Trabajo de la Unidad de TIC"/>
    <s v="Para renovación de 19 certificados digitales para el 2021, según inventario de certificados digitales registrados al 2019"/>
  </r>
  <r>
    <s v="_1_SERVICIOS"/>
    <s v="1.04 SERVICIOS DE GESTIÓN Y APOYO"/>
    <s v="1.04.01 Servicios médicos y de laboratorio"/>
    <n v="0"/>
    <n v="1050000"/>
    <m/>
    <m/>
    <m/>
    <m/>
    <m/>
    <m/>
    <m/>
    <m/>
    <n v="1050000"/>
    <n v="0"/>
    <n v="364465.91999999998"/>
    <n v="683373.6"/>
    <n v="2160.4800000000978"/>
    <x v="0"/>
    <s v="2 Gestión Administrativa"/>
    <s v="02-10- Unidad de Tecnologías de Información y Comunicación"/>
    <s v="DH0101"/>
    <s v="Ejecutar 90% PRESU TC 5048 GDH"/>
    <s v="DH0101"/>
    <s v="Ejecutar 90% del Plan de Trabajo de Gestión del Desarrollo Humano"/>
    <s v="Médico de Empresa"/>
  </r>
  <r>
    <s v="_1_SERVICIOS"/>
    <s v="1.04 SERVICIOS DE GESTIÓN Y APOYO"/>
    <s v="1.04.03 Servicios de ingeniería"/>
    <n v="0"/>
    <m/>
    <m/>
    <m/>
    <n v="225000"/>
    <m/>
    <m/>
    <m/>
    <m/>
    <m/>
    <n v="225000"/>
    <n v="225000"/>
    <n v="0"/>
    <n v="0"/>
    <n v="0"/>
    <x v="0"/>
    <s v="2 Gestión Administrativa"/>
    <m/>
    <s v="RM0101"/>
    <s v="Ejecutar 90% PRESU TC 5048 RMS"/>
    <s v="RM0101"/>
    <s v="Ejecutar el 90% del Plan de Trabajo de la Unidad de Recursos Materiales y Servicios"/>
    <s v="Contratación de peritaje para 3 vehiculo de la institución en cumplimiento con la NICSP 17."/>
  </r>
  <r>
    <s v="_1_SERVICIOS"/>
    <s v="1.04 SERVICIOS DE GESTIÓN Y APOYO"/>
    <s v="1.04.04 Servicios en ciencias económicas y sociales"/>
    <n v="0"/>
    <m/>
    <m/>
    <m/>
    <n v="10000000"/>
    <m/>
    <m/>
    <m/>
    <m/>
    <m/>
    <n v="10000000"/>
    <m/>
    <n v="0"/>
    <n v="0"/>
    <n v="10000000"/>
    <x v="0"/>
    <s v="2 Gestión Administrativa"/>
    <m/>
    <s v="SE0101"/>
    <s v="Ejecutar 90% PRESU TC 5048 SE"/>
    <s v="SE0101"/>
    <s v="Ejecutar el 90% del Plan de Trabajo de la Secretaría Ejecutiva."/>
    <s v="Contratación de una Auditoría Externa de los EEFF del período 2018 al 2020, en cumplimiento con lo indicado en en la Directriz N°DCN-0001-2020 del 14/01/2020 emitido por la CN."/>
  </r>
  <r>
    <s v="_1_SERVICIOS"/>
    <s v="1.04 SERVICIOS DE GESTIÓN Y APOYO"/>
    <s v="1.04.04 Servicios en ciencias económicas y sociales"/>
    <n v="0"/>
    <m/>
    <m/>
    <m/>
    <n v="6500000"/>
    <m/>
    <m/>
    <m/>
    <m/>
    <m/>
    <n v="6500000"/>
    <m/>
    <n v="0"/>
    <n v="0"/>
    <n v="6500000"/>
    <x v="0"/>
    <s v="2 Gestión Administrativa"/>
    <m/>
    <s v="DH0101"/>
    <s v="Ejecutar 90% PRESU TC 5048 GDH"/>
    <s v="DH0101"/>
    <s v="Ejecutar 90% del Plan de Trabajo de Gestión del Desarrollo Humano"/>
    <s v="Contratación de Sevicio de Consultoría para realizar estudio de cargas de trabajo solicitado por la Licda. Gabriela Díaz, DSA, en demanda judicial expediente N° TE: 20-000590-1550-LA-7, proceso: OR.S.PUB. Empleo Público."/>
  </r>
  <r>
    <s v="_1_SERVICIOS"/>
    <s v="1.04 SERVICIOS DE GESTIÓN Y APOYO"/>
    <s v="1.04.06 Servicios generales"/>
    <n v="39816000"/>
    <m/>
    <m/>
    <m/>
    <n v="3400000"/>
    <m/>
    <m/>
    <m/>
    <n v="385917.6"/>
    <m/>
    <n v="43601917.600000001"/>
    <n v="3607905"/>
    <n v="13011055.380000001"/>
    <n v="25964949.559999999"/>
    <n v="1018007.6600000001"/>
    <x v="0"/>
    <s v="2 Gestión Administrativa"/>
    <s v="02-09 Unidad Recursos Materiales y Servicios"/>
    <s v="RM0101"/>
    <s v="Ejecutar 90% PRESU TC 5048 RMS"/>
    <s v="RM0101"/>
    <s v="Ejecutar el 90% del Plan de Trabajo de la Unidad de Recursos Materiales y Servicios"/>
    <s v="Pago por los servicios de seguridad y vigilancia, el costo se basa al de acuerdo al monto mensual contratado, mas un estimado del reajuste  de precios mensual._x000a_Pago por el servicio de limpieza, el costo se basa al de acuerdo al monto mensual contratado, mas un estimado del reajuste de precios mensual._x000a_Reajustes de precios presentados en el 2020 por la empresa SEVIN y DEQUISA y los que se presenten en el 2021._x000a_"/>
  </r>
  <r>
    <s v="_1_SERVICIOS"/>
    <s v="1.05 GASTOS DE VIAJE Y DE TRANSPORTE"/>
    <s v="1.05.02 Viáticos dentro del país"/>
    <m/>
    <m/>
    <m/>
    <m/>
    <m/>
    <m/>
    <m/>
    <m/>
    <n v="216300"/>
    <m/>
    <n v="216300"/>
    <m/>
    <m/>
    <m/>
    <n v="216300"/>
    <x v="0"/>
    <s v="2 Gestión Administrativa"/>
    <m/>
    <s v="SE0101"/>
    <s v="Ejecutar 90% PRESU TC 5048 GDH"/>
    <s v="SE0101"/>
    <m/>
    <s v="Promover los Fondos disponibles para el financimiento de proyectos de Ciencia, Tecnología e Innovación, provenientes de la Ley N° 7169 Fondo de Incentivos, Ley N° 8262 Fondo Propyme y Ley N° 9028 Fondo Control de Tabaco. Haciendo un énfasis en el Fondo Propyme al tener dos convocatorias abiertas y al haber experimentado poca demanda en las mismas. "/>
  </r>
  <r>
    <s v="_1_SERVICIOS"/>
    <s v="1.04 SERVICIOS DE GESTIÓN Y APOYO"/>
    <s v="1.04.06 Servicios generales"/>
    <n v="282500"/>
    <m/>
    <m/>
    <m/>
    <n v="200000"/>
    <m/>
    <m/>
    <m/>
    <m/>
    <m/>
    <n v="482500"/>
    <n v="282500"/>
    <n v="0"/>
    <n v="0"/>
    <n v="200000"/>
    <x v="0"/>
    <s v="2 Gestión Administrativa"/>
    <s v="02-08 Unidad Gestión del Desarrollo Humano"/>
    <s v="DH0101"/>
    <s v="Ejecutar 90% PRESU TC 5048 GDH"/>
    <s v="DH0101"/>
    <s v="Ejecutar 90% del Plan de Trabajo de Gestión del Desarrollo Humano"/>
    <s v="Es de suma importancia que los extintores tengan las etiquetas actualizadas, se haya realizado las pruebas hidrostáticas, con el fin de que al presentarse una emergencia, no se de ningún inconveniente en el uso de los mismos. También el Minsiterio de Salud, puede realizar una visita y ver que nos encontremos al día con esto., sino puede ser una falta. _x000a_Para una eventual sanitización del edificio en caso de un caso positivo de COVID 19."/>
  </r>
  <r>
    <s v="_1_SERVICIOS"/>
    <s v="1.04 SERVICIOS DE GESTIÓN Y APOYO"/>
    <s v="1.04.99 Otros servicios de gestión y apoyo"/>
    <n v="85000"/>
    <m/>
    <m/>
    <m/>
    <m/>
    <m/>
    <m/>
    <m/>
    <m/>
    <m/>
    <n v="85000"/>
    <n v="52444.7"/>
    <n v="0"/>
    <n v="32555.3"/>
    <n v="0"/>
    <x v="0"/>
    <s v="2 Gestión Administrativa"/>
    <s v="02-09 Unidad Recursos Materiales y Servicios"/>
    <s v="RM0101"/>
    <s v="Ejecutar 90% PRESU TC 5048 RMS"/>
    <s v="RM0101"/>
    <s v="Ejecutar el 90% del Plan de Trabajo de la Unidad de Recursos Materiales y Servicios"/>
    <s v="Pago de la Revisón Técnica Vehicular ( 5 vehículos), el costo actual para RTV es de ¢15.927,25, por lo que se estima un aumento para el proximo año "/>
  </r>
  <r>
    <s v="_1_SERVICIOS"/>
    <s v="1.06 SEGUROS, REASEGUROS Y OTRAS OBLIGACIONES"/>
    <s v="1.06.01 Seguros"/>
    <n v="3045421.4"/>
    <m/>
    <m/>
    <n v="435000"/>
    <m/>
    <m/>
    <m/>
    <n v="-104553"/>
    <n v="104553"/>
    <m/>
    <n v="3480421.4"/>
    <n v="125640"/>
    <n v="0"/>
    <n v="3239927"/>
    <n v="114854.39999999991"/>
    <x v="0"/>
    <s v="2 Gestión Administrativa"/>
    <s v="02-09 Unidad Recursos Materiales y Servicios"/>
    <s v="RM0101"/>
    <s v="Ejecutar 90% PRESU TC 5048 RMS"/>
    <s v="RM0101"/>
    <s v="Ejecutar el 90% del Plan de Trabajo de la Unidad de Recursos Materiales y Servicios"/>
    <s v="Pago de la Póliza de Incendios del Edificio y planta eléctrica._x000a_Pago de la Póliza de 5 Vehículos institucionales "/>
  </r>
  <r>
    <s v="_1_SERVICIOS"/>
    <s v="1.06 SEGUROS, REASEGUROS Y OTRAS OBLIGACIONES"/>
    <s v="1.06.01 Seguros"/>
    <n v="4000000"/>
    <m/>
    <m/>
    <n v="-435000"/>
    <n v="-1065000"/>
    <m/>
    <m/>
    <m/>
    <n v="150000"/>
    <m/>
    <n v="2650000"/>
    <n v="215000"/>
    <n v="0"/>
    <n v="2434558"/>
    <n v="442"/>
    <x v="0"/>
    <s v="2 Gestión Administrativa"/>
    <s v="02-08 Unidad Gestión del Desarrollo Humano"/>
    <s v="DH0101"/>
    <s v="Ejecutar 90% PRESU TC 5048 GDH"/>
    <s v="DH0101"/>
    <s v="Ejecutar 90% del Plan de Trabajo de Gestión del Desarrollo Humano"/>
    <s v="Póliza de riesgos de trabajo y liquidación 2021"/>
  </r>
  <r>
    <s v="_1_SERVICIOS"/>
    <s v="1.06 SEGUROS, REASEGUROS Y OTRAS OBLIGACIONES"/>
    <s v="1.06.01 Seguros"/>
    <n v="800000"/>
    <m/>
    <m/>
    <m/>
    <m/>
    <m/>
    <m/>
    <n v="104553"/>
    <m/>
    <m/>
    <n v="904553"/>
    <n v="0"/>
    <n v="0"/>
    <n v="904553"/>
    <n v="0"/>
    <x v="0"/>
    <s v="2 Gestión Administrativa"/>
    <s v="02-10- Unidad de Tecnologías de Información y Comunicación"/>
    <s v="TC0101"/>
    <s v="Ejecutar 90% PRESU TC 5048 TIC"/>
    <s v="TC0101"/>
    <s v="Ejecutar el 90% del Plan de Trabajo de la Unidad de TIC"/>
    <s v="Renovación de la Póliza 0101EQE001003208 de equipo electrónico 2020"/>
  </r>
  <r>
    <s v="_1_SERVICIOS"/>
    <s v="1.08 MANTENIMIENTO Y REPARACIÓN"/>
    <s v="1.08.01 Mantenimiento de edificios, locales y terrenos"/>
    <n v="1000000"/>
    <m/>
    <m/>
    <m/>
    <n v="1000000"/>
    <m/>
    <m/>
    <m/>
    <m/>
    <m/>
    <n v="2000000"/>
    <n v="0"/>
    <n v="1850850"/>
    <n v="0"/>
    <n v="149150"/>
    <x v="0"/>
    <s v="2 Gestión Administrativa"/>
    <s v="02-09 Unidad Recursos Materiales y Servicios"/>
    <s v="RM0101"/>
    <s v="Ejecutar 90% PRESU TC 5048 RMS"/>
    <s v="RM0101"/>
    <s v="Ejecutar el 90% del Plan de Trabajo de la Unidad de Recursos Materiales y Servicios"/>
    <s v="Pintura de paredes externas del edificio aproximadamente 3570 mts 2 por un monto de ¢20.000.000, mantenimiento de la alarma contra incendios por un monto de ¢1.000.000,  limpieza de  dos cajas de registro de aguas grises y aguas negras por un monto de ¢60.000 y imprevistos que surgan en el proximo año por un monto de ¢1.000.000,00. _x000a_Reparación del techo del parqueo "/>
  </r>
  <r>
    <s v="_1_SERVICIOS"/>
    <s v="1.08 MANTENIMIENTO Y REPARACIÓN"/>
    <s v="1.08.05 Mantenimiento y reparación de equipo de transporte"/>
    <n v="0"/>
    <m/>
    <m/>
    <m/>
    <n v="1200000"/>
    <m/>
    <m/>
    <m/>
    <m/>
    <m/>
    <n v="1200000"/>
    <n v="0"/>
    <n v="0"/>
    <n v="0"/>
    <n v="1200000"/>
    <x v="0"/>
    <s v="2 Gestión Administrativa"/>
    <m/>
    <s v="RM0101"/>
    <s v="Ejecutar 90% PRESU TC 5048 RMS"/>
    <s v="RM0101"/>
    <s v="Ejecutar el 90% del Plan de Trabajo de la Unidad de Recursos Materiales y Servicios"/>
    <s v="Reparación de equipo de transporte, unidades 238-25 y 238-26"/>
  </r>
  <r>
    <s v="_1_SERVICIOS"/>
    <s v="1.08 MANTENIMIENTO Y REPARACIÓN"/>
    <s v="1.08.06 Mantenimiento y reparación de equipo de comunicación"/>
    <n v="734500"/>
    <m/>
    <m/>
    <m/>
    <m/>
    <n v="689300"/>
    <m/>
    <m/>
    <m/>
    <m/>
    <n v="1423800"/>
    <n v="0"/>
    <n v="452000"/>
    <n v="971800"/>
    <n v="0"/>
    <x v="0"/>
    <s v="2 Gestión Administrativa"/>
    <s v="02-10- Unidad de Tecnologías de Información y Comunicación"/>
    <s v="TC0101"/>
    <s v="Ejecutar 90% PRESU TC 5048 TIC"/>
    <s v="TC0101"/>
    <s v="Ejecutar el 90% del Plan de Trabajo de la Unidad de TIC"/>
    <s v="Para cubirir los contratos de mantenimiento para la central telefónica (12 visitas anuales) y el las cámaras de vigilancia (CCTV) (cuatro visitas anuales)"/>
  </r>
  <r>
    <s v="_1_SERVICIOS"/>
    <s v="1.08 MANTENIMIENTO Y REPARACIÓN"/>
    <s v="1.08.07 Mantenimiento y reparación de equipo y mobiliario de oficina"/>
    <n v="67800"/>
    <m/>
    <m/>
    <m/>
    <m/>
    <m/>
    <m/>
    <m/>
    <m/>
    <m/>
    <n v="67800"/>
    <n v="0"/>
    <m/>
    <n v="67800"/>
    <n v="0"/>
    <x v="0"/>
    <s v="2 Gestión Administrativa"/>
    <s v="02-10- Unidad de Tecnologías de Información y Comunicación"/>
    <s v="TC0101"/>
    <s v="Ejecutar 90% PRESU TC 5048 TIC"/>
    <s v="TC0101"/>
    <s v="Ejecutar el 90% del Plan de Trabajo de la Unidad de TIC"/>
    <s v="Para cubrir el contrato de mantenimiento de los aires acondicionados del cuarto de servidores (Una visita anual), según contrato para la tercer renovación Ver mantenimiento correctivo"/>
  </r>
  <r>
    <s v="_1_SERVICIOS"/>
    <s v="1.08 MANTENIMIENTO Y REPARACIÓN"/>
    <s v="1.08.08 Mantenimiento y reparación de equipo de cómputo y sistemas"/>
    <n v="15603520"/>
    <m/>
    <m/>
    <m/>
    <m/>
    <n v="-713050"/>
    <m/>
    <m/>
    <n v="-544553"/>
    <m/>
    <n v="14345917"/>
    <m/>
    <n v="3592835"/>
    <n v="7547870.3300000001"/>
    <n v="3205211.67"/>
    <x v="0"/>
    <s v="2 Gestión Administrativa"/>
    <s v="02-10- Unidad de Tecnologías de Información y Comunicación"/>
    <s v="TC0101"/>
    <s v="Ejecutar 90% PRESU TC 5048 TIC"/>
    <s v="TC0101"/>
    <s v="Ejecutar el 90% del Plan de Trabajo de la Unidad de TIC"/>
    <s v="Cubrir contrato de mantenimiento de la UPS del cuarto de servidores una visita anual (170,000  + IVA)._x000a_Contrato de mantenimiento  anual de  Wizdom ($50*17*12*670+ IVA) y su actualización ¢4,300,000 + IVA._x000a_Mantenimiento preventivo para 15 computadoras de escritorio (25,000 C/U), 45 computadoras portátiles (20,000 C/U) , 3 impresoras de inyección (15,000 C/U), 1 escáner (20,000 C/U), 6 servidores (110,000 C/U), Mantenimiento correctivo para 4 impresoras multifuncionales (375,000 C/U) mas el IVA"/>
  </r>
  <r>
    <s v="_1_SERVICIOS"/>
    <s v="1.09 IMPUESTOS"/>
    <s v="1.99.02 Intereses moratorios y multas"/>
    <n v="0"/>
    <n v="2330000"/>
    <m/>
    <m/>
    <m/>
    <m/>
    <m/>
    <m/>
    <m/>
    <m/>
    <n v="2330000"/>
    <n v="0"/>
    <n v="0"/>
    <n v="2327335"/>
    <n v="2665"/>
    <x v="0"/>
    <s v="2 Gestión Administrativa"/>
    <s v="02-08 Unidad Gestión del Desarrollo Humano"/>
    <s v="DH0101"/>
    <s v="Ejecutar 90% PRESU TC 5048 GDH"/>
    <s v="DH0101"/>
    <s v="Ejecutar 90% del Plan de Trabajo de Gestión del Desarrollo Humano"/>
    <s v="Intereses moratorios CCSS factura adicional "/>
  </r>
  <r>
    <s v="_1_SERVICIOS"/>
    <m/>
    <s v="1.09.99 Otros impuestos"/>
    <n v="625980"/>
    <m/>
    <m/>
    <m/>
    <m/>
    <m/>
    <m/>
    <m/>
    <m/>
    <m/>
    <n v="625980"/>
    <n v="625980"/>
    <n v="0"/>
    <n v="0"/>
    <n v="0"/>
    <x v="0"/>
    <s v="2 Gestión Administrativa"/>
    <s v="02-09 Unidad Recursos Materiales y Servicios"/>
    <s v="RM0101"/>
    <s v="Ejecutar 90% PRESU TC 5048 RMS"/>
    <s v="RM0101"/>
    <s v="Ejecutar el 90% del Plan de Trabajo de la Unidad de Recursos Materiales y Servicios"/>
    <s v="Pago del derecho de circulación de 5 vehículos"/>
  </r>
  <r>
    <s v="_1_SERVICIOS"/>
    <s v="1.09 IMPUESTOS"/>
    <s v="1.09.99 Otros impuestos"/>
    <n v="25000"/>
    <m/>
    <m/>
    <m/>
    <m/>
    <m/>
    <m/>
    <m/>
    <m/>
    <m/>
    <n v="25000"/>
    <n v="0"/>
    <n v="0"/>
    <n v="0"/>
    <n v="25000"/>
    <x v="0"/>
    <s v="2 Gestión Administrativa"/>
    <s v="02-05 Asesoría Legal"/>
    <s v="AL0301"/>
    <s v="Ejecutar 90% PRESU TC 5048 GDH"/>
    <s v="AL0101"/>
    <s v="Ejecutar el 90% del Plan de Trabajo de la Asesoría Legal."/>
    <s v="Este monto es destinado a la compra de timbres ficales, legales y de abogado para la presentación de escritos judiciales y administrativos, así como para obtención de copias de expedientes judicales y administrativos de indole legal."/>
  </r>
  <r>
    <s v="_2_MATERIALES_Y_SUMINISTROS"/>
    <s v="2 .01 PRODUCTOS QUÍMICOS Y CONEXOS"/>
    <s v="2.01.01 Combustibles y lubricantes"/>
    <n v="350000"/>
    <m/>
    <m/>
    <m/>
    <m/>
    <m/>
    <m/>
    <m/>
    <m/>
    <m/>
    <n v="350000"/>
    <n v="188449"/>
    <n v="0"/>
    <n v="161550.70000000001"/>
    <n v="0.29999999998835847"/>
    <x v="0"/>
    <s v="2 Gestión Administrativa"/>
    <s v="02-09 Unidad Recursos Materiales y Servicios"/>
    <s v="RM0101"/>
    <s v="Ejecutar 90% PRESU TC 5048 RMS"/>
    <s v="RM0101"/>
    <s v="Ejecutar el 90% del Plan de Trabajo de la Unidad de Recursos Materiales y Servicios"/>
    <s v="Pago de tarjeta de gastos de combustible de los vehículos para asuntos  de servicios que brinda la unidad y planta eléctrica del CONICIT"/>
  </r>
  <r>
    <s v="_2_MATERIALES_Y_SUMINISTROS"/>
    <s v="2 .01 PRODUCTOS QUÍMICOS Y CONEXOS"/>
    <s v="2.01.02 Productos farmacéuticos y medicinales"/>
    <m/>
    <m/>
    <m/>
    <m/>
    <m/>
    <m/>
    <m/>
    <m/>
    <n v="100000"/>
    <m/>
    <n v="100000"/>
    <n v="1723.9"/>
    <n v="98276.1"/>
    <m/>
    <n v="0"/>
    <x v="0"/>
    <s v="2 Gestión Administrativa"/>
    <m/>
    <s v="DH0101"/>
    <s v="Ejecutar 90% PRESU TC 5048 GDH"/>
    <s v="DH0101"/>
    <s v="Ejecutar 90% del Plan de Trabajo de Gestión del Desarrollo Humano"/>
    <s v="Compra de alcohol en gel"/>
  </r>
  <r>
    <s v="_2_MATERIALES_Y_SUMINISTROS"/>
    <s v="2 .01 PRODUCTOS QUÍMICOS Y CONEXOS"/>
    <s v="2.01.04 Tintas, pinturas y diluyentes"/>
    <n v="150000"/>
    <m/>
    <m/>
    <m/>
    <m/>
    <m/>
    <m/>
    <m/>
    <m/>
    <m/>
    <n v="150000"/>
    <n v="150000"/>
    <n v="0"/>
    <n v="0"/>
    <n v="0"/>
    <x v="0"/>
    <s v="2 Gestión Administrativa"/>
    <s v="02-09 Unidad Recursos Materiales y Servicios"/>
    <s v="RM0101"/>
    <s v="Ejecutar 90% PRESU TC 5048 RMS"/>
    <s v="RM0101"/>
    <s v="Ejecutar el 90% del Plan de Trabajo de la Unidad de Recursos Materiales y Servicios"/>
    <s v="Compra de  Toners para impresoras multifuncionales ubicadas en los diferentes pisos del CONICIT  asi como carturchos de tintas para impresoras Canon Maxify y Canon Pixma ubicadas en TICS y oficina de actas, costo estimado de acuerdo a la ultima cotizaciones recibidas para la contratacion para la compra 2020."/>
  </r>
  <r>
    <s v="_2_MATERIALES_Y_SUMINISTROS"/>
    <s v="2.03 MATERIALES Y PRODUCTOS DE USO EN LA CONSTRUCCIÓN Y_x000a_MANTENIMIENTO"/>
    <s v="2.03.04 Materiales y productos eléctricos, telefónicos y de cómputo"/>
    <n v="615000"/>
    <m/>
    <m/>
    <m/>
    <m/>
    <m/>
    <m/>
    <m/>
    <m/>
    <m/>
    <n v="615000"/>
    <n v="615000"/>
    <n v="0"/>
    <n v="0"/>
    <n v="0"/>
    <x v="0"/>
    <s v="2 Gestión Administrativa"/>
    <s v="02-10- Unidad de Tecnologías de Información y Comunicación"/>
    <s v="TC0101"/>
    <s v="Ejecutar 90% PRESU TC 5048 TIC"/>
    <s v="TC0101"/>
    <s v="Ejecutar el 90% del Plan de Trabajo de la Unidad de TIC"/>
    <s v="5  dispositivo de Firma Digital 30,000 c/u, 80 cables de red (Patch cord) cat 6 para conexión de switches y red local 3,000 c-u,  1 Kt de herramientas de instalación de red Red RJ45 (Incluya Tester de cables, ponchadora, perforadora)"/>
  </r>
  <r>
    <s v="_2_MATERIALES_Y_SUMINISTROS"/>
    <s v="2.04 HERRAMIENTAS, REPUESTOS Y ACCESORIOS"/>
    <s v="2.04.02 Repuestos y accesorios"/>
    <n v="200000"/>
    <m/>
    <m/>
    <m/>
    <n v="225000"/>
    <m/>
    <m/>
    <m/>
    <m/>
    <m/>
    <n v="425000"/>
    <n v="200000"/>
    <n v="0"/>
    <n v="0"/>
    <n v="225000"/>
    <x v="0"/>
    <s v="2 Gestión Administrativa"/>
    <s v="02-09 Unidad Recursos Materiales y Servicios"/>
    <s v="RM0101"/>
    <s v="Ejecutar 90% PRESU TC 5048 RMS"/>
    <s v="RM0101"/>
    <s v="Ejecutar el 90% del Plan de Trabajo de la Unidad de Recursos Materiales y Servicios"/>
    <s v="Compra de al menos 8 llantas de respuesto para los vehiculos del CONICIT. Compra 3 baterías para los vehículos placas 238-5, 238-6 y 238-7"/>
  </r>
  <r>
    <s v="_2_MATERIALES_Y_SUMINISTROS"/>
    <s v="2.99 ÚTILES, MATERIALES Y SUMINISTROS DIVERSOS"/>
    <s v="2.99.01 Útiles y materiales de oficina y cómputo"/>
    <n v="37500"/>
    <m/>
    <m/>
    <m/>
    <m/>
    <m/>
    <m/>
    <m/>
    <m/>
    <m/>
    <n v="37500"/>
    <n v="25220"/>
    <n v="0"/>
    <n v="0"/>
    <n v="12280"/>
    <x v="0"/>
    <s v="2 Gestión Administrativa"/>
    <s v="02-09 Unidad Recursos Materiales y Servicios"/>
    <s v="RM0101"/>
    <s v="Ejecutar 90% PRESU TC 5048 RMS"/>
    <s v="RM0101"/>
    <s v="Ejecutar el 90% del Plan de Trabajo de la Unidad de Recursos Materiales y Servicios"/>
    <s v="Compra de suministros de oficina "/>
  </r>
  <r>
    <s v="_2_MATERIALES_Y_SUMINISTROS"/>
    <s v="2.99 ÚTILES, MATERIALES Y SUMINISTROS DIVERSOS"/>
    <s v="2.99.02 Útiles y materiales médico, hospitalario y de investigación"/>
    <n v="100000"/>
    <m/>
    <m/>
    <m/>
    <m/>
    <m/>
    <m/>
    <m/>
    <n v="-100000"/>
    <m/>
    <n v="0"/>
    <n v="0"/>
    <n v="0"/>
    <n v="0"/>
    <n v="0"/>
    <x v="0"/>
    <s v="2 Gestión Administrativa"/>
    <s v="02-08 Unidad Gestión del Desarrollo Humano"/>
    <s v="DH0101"/>
    <s v="Ejecutar 90% PRESU TC 5048 GDH"/>
    <s v="DH0101"/>
    <s v="Ejecutar 90% del Plan de Trabajo de Gestión del Desarrollo Humano"/>
    <s v="Para la compra de Solución Alcohólica Antiséptica para Higiene de Manos que vende la FANAL."/>
  </r>
  <r>
    <s v="_2_MATERIALES_Y_SUMINISTROS"/>
    <s v="2.99 ÚTILES, MATERIALES Y SUMINISTROS DIVERSOS"/>
    <s v="2.99.03 Productos de papel, cartón e impresos"/>
    <n v="67500"/>
    <m/>
    <m/>
    <m/>
    <m/>
    <m/>
    <m/>
    <m/>
    <n v="200000"/>
    <m/>
    <n v="267500"/>
    <n v="0"/>
    <n v="0"/>
    <n v="0"/>
    <n v="267500"/>
    <x v="0"/>
    <s v="2 Gestión Administrativa"/>
    <s v="02-09 Unidad Recursos Materiales y Servicios"/>
    <s v="RM0101"/>
    <s v="Ejecutar 90% PRESU TC 5048 RMS"/>
    <s v="RM0101"/>
    <s v="Ejecutar el 90% del Plan de Trabajo de la Unidad de Recursos Materiales y Servicios"/>
    <s v="Compra de suministros de papel papel bond oficio para el uso diario de las actividades de las oficinas del CONICIT._x000a_Compra de cajas de cartón para el archivo de expedientes"/>
  </r>
  <r>
    <s v="_5_BIENES_DURADEROS"/>
    <s v="5.01 MAQUINARIA, EQUIPO Y MOBILIARIO"/>
    <s v="5.01.03 Equipo de comunicación"/>
    <n v="600000"/>
    <m/>
    <m/>
    <m/>
    <m/>
    <m/>
    <m/>
    <m/>
    <m/>
    <m/>
    <n v="600000"/>
    <n v="600000"/>
    <n v="0"/>
    <n v="0"/>
    <n v="0"/>
    <x v="1"/>
    <s v="1 Promoción de la Ciencia, Tecnología e Innovación"/>
    <s v="01-08 Secretaría Ejecutiva"/>
    <s v="SE0103"/>
    <s v="Ejecutar 90% del PRESU-3% PROPYME SE"/>
    <s v="SE0101"/>
    <s v="Ejecutar el 90% del Plan de Trabajo de la Secretaría Ejecutiva."/>
    <s v="De acuerdo con la Ley de Promoción del Desarrollo Científico Tecnológico Ley 7169, Capítulo IV, artículo 23 y artículo 24, se requiere la compra del siguiente equipo: tres Micrófonos, grabadores digitales (mezcladora de sonidos), auriculares (audífonos), software de grabación y edición. Este equipo será utilizado para la producción de programas radiofónicos y podcast vía internet que se puedan archivar en apps como &quot;Spotify&quot;. Lo anterior para divulgación y promoción de resultados y de proyectos de beneficarios del Fondo Propyme  que beneficien a los sectores productivos del país._x000a_Las producciones que se realicen con este equipo permitirán a la institución actuar como un puente entre la información tecnológica generada en los centros  de investigación público o privados y el público no especializado. La simplificación del lenguaje tecnológico  y su divulgación es esencial para la educación del ciudadano, para el alcance de gobernantes y tomadores de decisiones de modo que se promuevan más acciones direccionadas a una sociedad más educada, innovadora y económica y ambientalmente sostenible. Además, en la nueva normalidad que nos envuelve a causa de la Pandemia Covid- 19 los medios virtuales que permitan llegar al ciudadano de forma eficiente no presencial se hacen cada vez más necesarios._x000a_"/>
  </r>
  <r>
    <s v="_5_BIENES_DURADEROS"/>
    <s v="5.01 MAQUINARIA, EQUIPO Y MOBILIARIO"/>
    <s v="5.01.04 Equipo y mobiliario de oficina"/>
    <n v="0"/>
    <m/>
    <m/>
    <m/>
    <n v="180000"/>
    <m/>
    <m/>
    <m/>
    <n v="270000"/>
    <m/>
    <n v="450000"/>
    <n v="450000"/>
    <n v="0"/>
    <n v="0"/>
    <n v="0"/>
    <x v="0"/>
    <s v="2 Gestión Administrativa"/>
    <m/>
    <s v="RM0101"/>
    <s v="Ejecutar 90% PRESU TC 5048 RMS"/>
    <s v="RM0101"/>
    <m/>
    <s v="Compra trituradora de papel y de un scanner para uso del Archivista"/>
  </r>
  <r>
    <s v="_5_BIENES_DURADEROS"/>
    <s v="5.01 MAQUINARIA, EQUIPO Y MOBILIARIO"/>
    <s v="5.01.04 Equipo y mobiliario de oficina"/>
    <m/>
    <m/>
    <m/>
    <m/>
    <m/>
    <m/>
    <m/>
    <m/>
    <n v="2300000"/>
    <m/>
    <n v="2300000"/>
    <n v="2300000"/>
    <m/>
    <m/>
    <n v="0"/>
    <x v="0"/>
    <s v="2 Gestión Administrativa"/>
    <m/>
    <s v="TC0101"/>
    <s v="Ejecutar 90% PRESU TC 5048 TIC"/>
    <s v="TC0101"/>
    <s v="Ejecutar el 90% del Plan de Trabajo de la Unidad de TIC"/>
    <s v="compra  e instalación de dos aires acondicionados para el cuarto de servidores de la organización."/>
  </r>
  <r>
    <s v="_5_BIENES_DURADEROS"/>
    <s v="5.01 MAQUINARIA, EQUIPO Y MOBILIARIO"/>
    <s v="5.01.05 Equipo y programas de cómputo"/>
    <m/>
    <m/>
    <m/>
    <m/>
    <m/>
    <m/>
    <m/>
    <m/>
    <n v="3063249.26"/>
    <m/>
    <n v="3063249.26"/>
    <n v="3063249.26"/>
    <m/>
    <m/>
    <n v="0"/>
    <x v="2"/>
    <s v="2 Gestión Administrativa"/>
    <m/>
    <s v="TC0106"/>
    <s v="Ejecutar 90% PRESU SUPERAVIT 3% Propyme TIC"/>
    <s v="TC0101"/>
    <s v="Ejecutar el 90% del Plan de Trabajo de la Unidad de TIC"/>
    <s v="compra de computadoras portátiles y  monitores para computadora con el fin de renovar equipos del personal encargado de las solicitudes de financiamiento de Propyme  que ya cumplieron su vida útil y han presentado problemas en su función."/>
  </r>
  <r>
    <s v="_5_BIENES_DURADEROS"/>
    <s v="5.01 MAQUINARIA, EQUIPO Y MOBILIARIO"/>
    <s v="5.01.05 Equipo y programas de cómputo"/>
    <m/>
    <m/>
    <m/>
    <m/>
    <m/>
    <m/>
    <m/>
    <m/>
    <n v="3815320.57"/>
    <m/>
    <n v="3815320.57"/>
    <n v="3815320.57"/>
    <m/>
    <m/>
    <n v="0"/>
    <x v="3"/>
    <s v="2 Gestión Administrativa"/>
    <m/>
    <s v="TC0105"/>
    <s v="Ejecutar 90% PRESU SUPERÁVIT 5048 TIC"/>
    <s v="TC0101"/>
    <s v="Ejecutar el 90% del Plan de Trabajo de la Unidad de TIC"/>
    <s v="compra de computadoras portátiles y  monitores para computadora con el fin de renovar equipos del personal considerando que ya cumplieron su vida útil y han presentado problemas en su función."/>
  </r>
  <r>
    <s v="_5_BIENES_DURADEROS"/>
    <s v="5.01 MAQUINARIA, EQUIPO Y MOBILIARIO"/>
    <s v="5.01.05 Equipo y programas de cómputo"/>
    <m/>
    <m/>
    <m/>
    <m/>
    <m/>
    <m/>
    <m/>
    <m/>
    <n v="16371430.17"/>
    <m/>
    <n v="16371430.17"/>
    <n v="16371430.17"/>
    <m/>
    <m/>
    <n v="0"/>
    <x v="0"/>
    <s v="2 Gestión Administrativa"/>
    <m/>
    <s v="TC0101"/>
    <s v="Ejecutar 90% PRESU TC 5048 TIC"/>
    <s v="TC0101"/>
    <s v="Ejecutar el 90% del Plan de Trabajo de la Unidad de TIC"/>
    <s v="compra de computadoras portátiles y  monitores para computadora con el fin de renovar equipos del personal considerando que ya cumplieron su vida útil y han presentado problemas en su función."/>
  </r>
  <r>
    <s v="_5_BIENES_DURADEROS"/>
    <s v="5.99 BIENES DURADEROS DIVERSOS"/>
    <s v="5.99.03 Bienes intangibles"/>
    <m/>
    <m/>
    <m/>
    <m/>
    <m/>
    <m/>
    <n v="3096301.35"/>
    <m/>
    <m/>
    <m/>
    <n v="3096301.35"/>
    <m/>
    <m/>
    <m/>
    <n v="3096301.35"/>
    <x v="1"/>
    <s v="2 Gestión Administrativa"/>
    <s v="02-10- Unidad de Tecnologías de Información y Comunicación"/>
    <s v="TC0104"/>
    <s v="Ejecutar 90% PRESU TC 3% Propyme TIC"/>
    <s v="TC0101"/>
    <s v="Ejecutar el 90% del Plan de Trabajo de la Unidad de TIC"/>
    <s v="Página Web"/>
  </r>
  <r>
    <s v="_5_BIENES_DURADEROS"/>
    <s v="5.99 BIENES DURADEROS DIVERSOS"/>
    <s v="5.99.03 Bienes intangibles"/>
    <m/>
    <m/>
    <m/>
    <m/>
    <m/>
    <m/>
    <n v="3815320.57"/>
    <m/>
    <n v="-3815320.57"/>
    <m/>
    <n v="0"/>
    <n v="0"/>
    <n v="0"/>
    <n v="0"/>
    <n v="0"/>
    <x v="3"/>
    <s v="2 Gestión Administrativa"/>
    <s v="02-10- Unidad de Tecnologías de Información y Comunicación"/>
    <s v="TC0105"/>
    <s v="Ejecutar 90% PRESU SUPERÁVIT 5048 TIC"/>
    <s v="TC0101"/>
    <s v="Ejecutar el 90% del Plan de Trabajo de la Unidad de TIC"/>
    <s v="Página Web"/>
  </r>
  <r>
    <s v="_5_BIENES_DURADEROS"/>
    <s v="5.99 BIENES DURADEROS DIVERSOS"/>
    <s v="5.99.03 Bienes intangibles"/>
    <m/>
    <m/>
    <m/>
    <m/>
    <m/>
    <m/>
    <n v="3063249.26"/>
    <m/>
    <n v="-3063249.26"/>
    <m/>
    <n v="0"/>
    <m/>
    <m/>
    <m/>
    <n v="0"/>
    <x v="2"/>
    <s v="2 Gestión Administrativa"/>
    <s v="02-10- Unidad de Tecnologías de Información y Comunicación"/>
    <s v="TC0106"/>
    <s v="Ejecutar 90% PRESU SUPERAVIT 3% Propyme TIC"/>
    <s v="TC0101"/>
    <s v="Ejecutar el 90% del Plan de Trabajo de la Unidad de TIC"/>
    <s v="Página Web"/>
  </r>
  <r>
    <s v="_5_BIENES_DURADEROS"/>
    <s v="5.99 BIENES DURADEROS DIVERSOS"/>
    <s v="5.99.03 Bienes intangibles"/>
    <n v="12875000"/>
    <m/>
    <n v="10439698.82"/>
    <m/>
    <m/>
    <m/>
    <m/>
    <m/>
    <n v="-10921430.17"/>
    <m/>
    <n v="12393268.65"/>
    <n v="8300000"/>
    <n v="3084900"/>
    <n v="709187.28"/>
    <n v="299181.37000000034"/>
    <x v="0"/>
    <s v="2 Gestión Administrativa"/>
    <s v="02-10- Unidad de Tecnologías de Información y Comunicación"/>
    <s v="TC0101"/>
    <s v="Ejecutar 90% PRESU TC 5048 TIC"/>
    <s v="TC0101"/>
    <s v="Ejecutar el 90% del Plan de Trabajo de la Unidad de TIC"/>
    <s v="1- Renovacion de licencia de Zextras anual ($1,100), Renovacion de licencias de antivirus y seguridad perimetral de Panda ($5,000), renovacion de 12 licencias de Adobe Acrobat ($1,900), una licencia de Adobe Illustrator ($350), 2 licencias de Adobe Photo Shop ($700), a todo este rubro se le suma el IVA._x000a_2- Adquisicion y mantenimiento mensual de licencias de ZIMBRA Network Edition para 100 buzones, licenciamiento perpetuo (un solo pago de $1600 + IVA) y servicio mensual de soporte y mantenimiento con 3 visitas preventivas anuales ($75 x mes + IVA)._x000a_3- Compra de 50 licencias de herramientas de trabajo virtual  para el uso de teletrabajo, TEAMS EMRESARIAL ESSENTIAL con ONE DRIVE 1TB_x000a_4- 350 HORAS PROFESIONALES PARA AJUSTES EN EL SISTEMA WIZDOM NICSP, Planilla Ley 9635, cambios en la evaluación del desempeño por la nueva normativa, ajustes en reportes y boletas"/>
  </r>
  <r>
    <s v="_5_BIENES_DURADEROS"/>
    <s v="5.99 BIENES DURADEROS DIVERSOS"/>
    <s v="5.99.03 Bienes intangibles"/>
    <n v="10439698.82"/>
    <m/>
    <n v="-10439698.82"/>
    <m/>
    <m/>
    <m/>
    <m/>
    <m/>
    <m/>
    <m/>
    <n v="0"/>
    <m/>
    <m/>
    <n v="0"/>
    <n v="0"/>
    <x v="0"/>
    <s v="2 Gestión Administrativa"/>
    <m/>
    <s v="DSA0101"/>
    <s v="Ejecutar 90% PRESU TC 5048 DSA"/>
    <s v="SA0101"/>
    <s v="Ejecutar el 90% del Plan de Trabajo de la DSA"/>
    <s v="350 HORAS PROFESIONALES PARA AJUSTES EN EL SISTEMA WIZDOM NICSP, Planilla Ley 9635, cambios en la evaluación del desempeño por la nueva normativa, ajustes en reportes y boletas"/>
  </r>
  <r>
    <s v="_6_TRANSFERENCIAS_CORRIENTES"/>
    <s v="6.01 TRANSFERENCIAS CORRIENTES AL SECTOR PÚBLICO"/>
    <s v="6.01.01 Transferencias corrientes al Gobierno Central"/>
    <m/>
    <m/>
    <m/>
    <m/>
    <m/>
    <m/>
    <n v="5530161.1299999999"/>
    <m/>
    <m/>
    <m/>
    <n v="5530161.1299999999"/>
    <n v="0"/>
    <n v="0"/>
    <n v="5530161.1299999999"/>
    <n v="0"/>
    <x v="3"/>
    <s v="2 Gestión Administrativa"/>
    <s v="02-07 Unidad de Finanzas"/>
    <s v="FI0102"/>
    <s v="Ejecutar 90% PRESU SUPERAVIT 5048 FI"/>
    <s v="FI0101"/>
    <s v="Ejecutar el 90% del Plan de Trabajo de la Unidad de Finanzas"/>
    <s v="TC al MH por superávit libre 2020"/>
  </r>
  <r>
    <s v="_6_TRANSFERENCIAS_CORRIENTES"/>
    <s v="6.01 TRANSFERENCIAS CORRIENTES AL SECTOR PÚBLICO"/>
    <s v="6.01.02 Transferencias corrientes a Órganos Desconcentrados"/>
    <n v="1892460.24"/>
    <m/>
    <m/>
    <m/>
    <n v="-1726551.94"/>
    <m/>
    <m/>
    <m/>
    <m/>
    <m/>
    <n v="165908.30000000005"/>
    <n v="0"/>
    <n v="0"/>
    <n v="165908.29999999999"/>
    <n v="0"/>
    <x v="0"/>
    <s v="2 Gestión Administrativa"/>
    <s v="02-07 Unidad de Finanzas"/>
    <s v="FI0103"/>
    <s v="Ejecutar 90% PRESU TC 5048 FI"/>
    <s v="FI0101"/>
    <s v="Ejecutar el 90% del Plan de Trabajo de la Unidad de Finanzas"/>
    <s v="Tributo: Comisión Nacional de Prevención de Riesgos y Atención de Emergencias (CNE). En cumplimiento a lo establecido en el Artículo 46 de la Ley 8488 correspondiente al pago del 3% del superávit libre como resultado de la liquidación presupuestaria del año anterior. Se estimo con el promedio de los años 2018-2019-2020."/>
  </r>
  <r>
    <s v="_6_TRANSFERENCIAS_CORRIENTES"/>
    <s v="6.01 TRANSFERENCIAS CORRIENTES AL SECTOR PÚBLICO"/>
    <s v="6.01.03 Transferencias corrientes a Instituciones Descentralizadas no"/>
    <n v="317258004.00999999"/>
    <m/>
    <m/>
    <m/>
    <n v="25000000"/>
    <m/>
    <n v="-81098367.010000005"/>
    <m/>
    <n v="1443562"/>
    <m/>
    <n v="262603199"/>
    <n v="1443562"/>
    <n v="0"/>
    <n v="261159637"/>
    <n v="0"/>
    <x v="4"/>
    <s v="1 Promoción de la Ciencia, Tecnología e Innovación"/>
    <s v="01-06 Unidad Gestión del Financiamiento"/>
    <s v="GF0302"/>
    <s v="Ejecutar 90% PRESU TC 7169 GF"/>
    <s v="GF0101"/>
    <s v="Ejecutar el 90% del Plan de Trabajo de Gestión del Financiamiento."/>
    <s v="Compromisos y reservas Fondo de Incentivos según convocatorias del MICITT"/>
  </r>
  <r>
    <s v="_6_TRANSFERENCIAS_CORRIENTES"/>
    <s v="6.01 TRANSFERENCIAS CORRIENTES AL SECTOR PÚBLICO"/>
    <s v="6.01.03 Transferencias corrientes a Instituciones Descentralizadas no"/>
    <m/>
    <m/>
    <m/>
    <m/>
    <m/>
    <m/>
    <n v="81098367.010000005"/>
    <m/>
    <n v="25018140"/>
    <m/>
    <n v="106116507.01000001"/>
    <n v="31903197.010000002"/>
    <n v="45224199"/>
    <n v="28989111"/>
    <n v="0"/>
    <x v="5"/>
    <s v="1 Promoción de la Ciencia, Tecnología e Innovación"/>
    <s v="01-06 Unidad Gestión del Financiamiento"/>
    <s v="GF0306"/>
    <m/>
    <s v="GF0101"/>
    <m/>
    <s v="Sustitución de FF"/>
  </r>
  <r>
    <s v="_6_TRANSFERENCIAS_CORRIENTES"/>
    <s v="6.01 TRANSFERENCIAS CORRIENTES AL SECTOR PÚBLICO"/>
    <s v="6.01.03 Transferencias corrientes a Instituciones Descentralizadas no"/>
    <n v="50000000"/>
    <m/>
    <m/>
    <m/>
    <m/>
    <m/>
    <n v="-50000000"/>
    <m/>
    <m/>
    <m/>
    <n v="0"/>
    <n v="0"/>
    <n v="0"/>
    <m/>
    <n v="0"/>
    <x v="6"/>
    <s v="1 Promoción de la Ciencia, Tecnología e Innovación"/>
    <s v="01-06 Unidad Gestión del Financiamiento"/>
    <s v="GF0103"/>
    <s v="Ejecutar 90% PRESU TC 9028 GF"/>
    <s v="GF0101"/>
    <s v="Ejecutar el 90% del Plan de Trabajo de Gestión del Financiamiento."/>
    <s v="Compromisos y reservas Fondo de Incentivos según convocatorias del MS. Se hace  Sustitución de FF En Wizdom solo se rebajo el disponible de ¢35.124.136 sin ejecutar, lo otro queda en la meta de TC aunque se pagó con superávit"/>
  </r>
  <r>
    <s v="_6_TRANSFERENCIAS_CORRIENTES"/>
    <s v="6.01 TRANSFERENCIAS CORRIENTES AL SECTOR PÚBLICO"/>
    <s v="6.01.03 Transferencias corrientes a Instituciones Descentralizadas no"/>
    <m/>
    <m/>
    <m/>
    <m/>
    <m/>
    <m/>
    <n v="50867820"/>
    <m/>
    <m/>
    <m/>
    <n v="50867820"/>
    <n v="0"/>
    <n v="35991956"/>
    <n v="14875864"/>
    <n v="0"/>
    <x v="7"/>
    <s v="1 Promoción de la Ciencia, Tecnología e Innovación"/>
    <s v="01-06 Unidad Gestión del Financiamiento"/>
    <s v="GF0305"/>
    <m/>
    <s v="GF0101"/>
    <m/>
    <s v="Sustitución de FF. En Wizdom solo se aumento  ¢35.991.956 lo otro queda en la meta de TC aunque se pagó con superávit"/>
  </r>
  <r>
    <s v="_6_TRANSFERENCIAS_CORRIENTES"/>
    <s v="6.01 TRANSFERENCIAS CORRIENTES AL SECTOR PÚBLICO"/>
    <s v="6.01.08 Fondos en fideicomiso para gasto corriente"/>
    <n v="97937257.010000005"/>
    <m/>
    <m/>
    <m/>
    <m/>
    <m/>
    <m/>
    <m/>
    <m/>
    <m/>
    <n v="97937257.010000005"/>
    <m/>
    <m/>
    <n v="73452942.879999995"/>
    <n v="24484314.13000001"/>
    <x v="8"/>
    <s v="1 Promoción de la Ciencia, Tecnología e Innovación"/>
    <s v="01-06 Unidad Gestión del Financiamiento"/>
    <s v="GF0101"/>
    <s v="Ejecutar 90% PRESU TC 8262 GF"/>
    <s v="GF0101"/>
    <s v="Ejecutar el 90% del Plan de Trabajo de Gestión del Financiamiento."/>
    <s v="Compromisos y reservas Fondo de Incentivos según convocatorias del MICITT"/>
  </r>
  <r>
    <s v="_6_TRANSFERENCIAS_CORRIENTES"/>
    <s v="6.02 TRANSFERENCIAS CORRIENTES A PERSONAS"/>
    <s v="6.02.02 Becas a terceras personas"/>
    <n v="48151809"/>
    <m/>
    <m/>
    <m/>
    <n v="-25000000"/>
    <m/>
    <n v="-21708247"/>
    <m/>
    <n v="-1443562"/>
    <m/>
    <n v="0"/>
    <n v="0"/>
    <n v="0"/>
    <n v="0"/>
    <n v="0"/>
    <x v="4"/>
    <s v="1 Promoción de la Ciencia, Tecnología e Innovación"/>
    <s v="01-06 Unidad Gestión del Financiamiento"/>
    <s v="GF0302"/>
    <s v="Ejecutar 90% PRESU TC 7169 GF"/>
    <s v="GF0101"/>
    <s v="Ejecutar el 90% del Plan de Trabajo de Gestión del Financiamiento."/>
    <s v="Compromisos y reservas Fondo de Incentivos según convocatorias del MICITT"/>
  </r>
  <r>
    <s v="_6_TRANSFERENCIAS_CORRIENTES"/>
    <s v="6.02 TRANSFERENCIAS CORRIENTES A PERSONAS"/>
    <s v="6.02.02 Becas a terceras personas"/>
    <m/>
    <m/>
    <m/>
    <m/>
    <m/>
    <m/>
    <n v="6850427"/>
    <m/>
    <n v="-4038187"/>
    <m/>
    <n v="2812240"/>
    <n v="0"/>
    <n v="2812240"/>
    <n v="0"/>
    <n v="0"/>
    <x v="5"/>
    <s v="1 Promoción de la Ciencia, Tecnología e Innovación"/>
    <s v="01-06 Unidad Gestión del Financiamiento"/>
    <s v="GF0306"/>
    <m/>
    <s v="GF0101"/>
    <m/>
    <s v="Sustitución de FF"/>
  </r>
  <r>
    <s v="_6_TRANSFERENCIAS_CORRIENTES"/>
    <s v="6.02 TRANSFERENCIAS CORRIENTES A PERSONAS"/>
    <s v="6.02.99 Otras transferencias a personas"/>
    <m/>
    <m/>
    <m/>
    <m/>
    <m/>
    <m/>
    <n v="13990000"/>
    <m/>
    <m/>
    <m/>
    <n v="13990000"/>
    <n v="13990000"/>
    <n v="0"/>
    <n v="0"/>
    <n v="0"/>
    <x v="5"/>
    <s v="1 Promoción de la Ciencia, Tecnología e Innovación"/>
    <s v="01-05 Unidad de Vinculación y Asesoría"/>
    <s v="VA0106"/>
    <m/>
    <s v="VA0101"/>
    <m/>
    <s v="Sustitución de FF Premio Nacional en CyT"/>
  </r>
  <r>
    <s v="_6_TRANSFERENCIAS_CORRIENTES"/>
    <s v="6.03 PRESTACIONES"/>
    <s v="6.03.01 Prestaciones legales"/>
    <n v="250000"/>
    <m/>
    <m/>
    <m/>
    <n v="250000"/>
    <m/>
    <m/>
    <m/>
    <m/>
    <m/>
    <n v="500000"/>
    <m/>
    <m/>
    <n v="0"/>
    <n v="500000"/>
    <x v="0"/>
    <s v="1 Promoción de la Ciencia, Tecnología e Innovación"/>
    <s v="01-02 Dirección de Promoción de Ciencia, Tecnología e Innovación"/>
    <s v="DP0101"/>
    <s v="Ejecutar 90% PRESU-planilla TC-5048 DP"/>
    <s v="DP0101"/>
    <s v="Ejecutar 90% de la planilla de la Dirección de Promoción"/>
    <s v="Se le solicitó a los colaboradores vía correo electrónico que indicaran su intención de jubilarse en el año 2021.  Las personas que respondieron, indicaron que previo a jubilarse disfrutarían las vacaciones acumuladas, por lo que por este concepto no habría que hacer erogación alguna.  Con respecto a la cesantía, romperían el tope y la Asociación Solidarista estaría cubriendo ese rubro.  Se prevee un monto de ¢250.000,00 por alguna diferencia salarial o cesgo.  Programa 1"/>
  </r>
  <r>
    <s v="_6_TRANSFERENCIAS_CORRIENTES"/>
    <s v="6.03 PRESTACIONES"/>
    <s v="6.03.01 Prestaciones legales"/>
    <n v="250000"/>
    <m/>
    <m/>
    <m/>
    <n v="250000"/>
    <m/>
    <m/>
    <m/>
    <n v="1000000"/>
    <m/>
    <n v="1500000"/>
    <m/>
    <m/>
    <n v="0"/>
    <n v="1500000"/>
    <x v="0"/>
    <s v="2 Gestión Administrativa"/>
    <s v="02-06 Dirección de Soporte Administrativo"/>
    <s v="DSA0101"/>
    <s v="Ejecutar 90% PRESU-planilla TC-5048 DSA"/>
    <s v="SA0101"/>
    <s v="Ejecutar 90% de la planilla de Gestion Administrativa"/>
    <s v="Se le solicitó a los colaboradores vía correo electrónico que indicaran su intención de jubilarse en el año 2021.  Las personas que respondieron, indicaron que previo a jubilarse disfrutarían las vacaciones acumuladas, por lo que por este concepto no habría que hacer erogación alguna.  Con respecto a la cesantía, romperían el tope y la Asociación Solidarista estaría cubriendo ese rubro.  Se prevee un monto de ¢250.000,00 por alguna diferencia salarial o cesgo.  Programa 2"/>
  </r>
  <r>
    <s v="_6_TRANSFERENCIAS_CORRIENTES"/>
    <s v="6.03 PRESTACIONES"/>
    <s v="6.03.99 Otras prestaciones"/>
    <n v="4000000"/>
    <m/>
    <m/>
    <m/>
    <m/>
    <m/>
    <m/>
    <m/>
    <m/>
    <m/>
    <n v="4000000"/>
    <m/>
    <m/>
    <n v="273812.78000000003"/>
    <n v="3726187.2199999997"/>
    <x v="0"/>
    <s v="1 Promoción de la Ciencia, Tecnología e Innovación"/>
    <s v="01-02 Dirección de Promoción de Ciencia, Tecnología e Innovación"/>
    <s v="DP0101"/>
    <s v="Ejecutar 90% PRESU-planilla TC-5048 DP"/>
    <s v="DP0101"/>
    <s v="Ejecutar 90% de la planilla de la Dirección de Promoción"/>
    <s v="Corresponde al pago de subsidio por incapacidades del INS o de la CCSS.  Programa 1"/>
  </r>
  <r>
    <s v="_6_TRANSFERENCIAS_CORRIENTES"/>
    <s v="6.03 PRESTACIONES"/>
    <s v="6.03.99 Otras prestaciones"/>
    <n v="4000000"/>
    <m/>
    <m/>
    <m/>
    <m/>
    <m/>
    <m/>
    <m/>
    <n v="3000000"/>
    <m/>
    <n v="7000000"/>
    <m/>
    <m/>
    <n v="4392508.74"/>
    <n v="2607491.2599999998"/>
    <x v="0"/>
    <s v="2 Gestión Administrativa"/>
    <s v="02-06 Dirección de Soporte Administrativo"/>
    <s v="DSA0101"/>
    <s v="Ejecutar 90% PRESU-planilla TC-5048 DSA"/>
    <s v="SA0101"/>
    <s v="Ejecutar 90% de la planilla de Gestion Administrativa"/>
    <s v="Corresponde al pago de subsidio por incapacidades del INS o de la CCSS.  Programa 2"/>
  </r>
  <r>
    <s v="_6_TRANSFERENCIAS_CORRIENTES"/>
    <s v="6.04 TRANSFERENCIAS CORRIENTES A ENTIDADES PRIVADAS SIN FINES DE LUCRO"/>
    <s v="6.04.02 Transferencias corrientes a fundaciones"/>
    <n v="53774445"/>
    <m/>
    <m/>
    <m/>
    <m/>
    <m/>
    <n v="-53774445"/>
    <m/>
    <m/>
    <m/>
    <n v="0"/>
    <n v="0"/>
    <n v="0"/>
    <n v="0"/>
    <n v="0"/>
    <x v="4"/>
    <s v="1 Promoción de la Ciencia, Tecnología e Innovación"/>
    <s v="01-06 Unidad Gestión del Financiamiento"/>
    <s v="GF0302"/>
    <s v="Ejecutar 90% PRESU TC 7169 GF"/>
    <s v="GF0101"/>
    <s v="Ejecutar el 90% del Plan de Trabajo de Gestión del Financiamiento."/>
    <s v="Compromisos y reservas Fondo de Incentivos según convocatorias del MICITT. Se hace sustitución de FF. En Wizdom sólo rebajo el disponible de ¢30.796.978 sin ejecutar, lo otro queda en la meta de TC aunque se pagó con superávit"/>
  </r>
  <r>
    <s v="_6_TRANSFERENCIAS_CORRIENTES"/>
    <s v="6.04 TRANSFERENCIAS CORRIENTES A ENTIDADES PRIVADAS SIN FINES DE LUCRO"/>
    <s v="6.04.02 Transferencias corrientes a fundaciones"/>
    <m/>
    <m/>
    <m/>
    <m/>
    <m/>
    <m/>
    <n v="53774445"/>
    <m/>
    <n v="-20979953"/>
    <m/>
    <n v="32794492"/>
    <m/>
    <m/>
    <n v="32794492"/>
    <n v="0"/>
    <x v="5"/>
    <s v="1 Promoción de la Ciencia, Tecnología e Innovación"/>
    <s v="01-06 Unidad Gestión del Financiamiento"/>
    <s v="GF0306"/>
    <m/>
    <s v="GF0101"/>
    <m/>
    <s v="Sustitución de FF. En Wizdom solo se rebajo el disponible de ¢30.796.978 sin ejecutar, lo otro queda en la meta de TC  aunque se pagó con superávit"/>
  </r>
  <r>
    <s v="_6_TRANSFERENCIAS_CORRIENTES"/>
    <s v="6.05 TRANSFERENCIAS CORRIENTES A EMPRESAS PRIVADAS"/>
    <s v="6.05.01 Transferencias corrientes a empresas privadas"/>
    <n v="11187581"/>
    <m/>
    <m/>
    <m/>
    <m/>
    <m/>
    <n v="-11187581"/>
    <m/>
    <m/>
    <m/>
    <n v="0"/>
    <n v="0"/>
    <n v="0"/>
    <m/>
    <n v="0"/>
    <x v="4"/>
    <s v="1 Promoción de la Ciencia, Tecnología e Innovación"/>
    <s v="01-06 Unidad Gestión del Financiamiento"/>
    <s v="GF0302"/>
    <s v="Ejecutar 90% PRESU TC 7169 GF"/>
    <s v="GF0101"/>
    <s v="Ejecutar el 90% del Plan de Trabajo de Gestión del Financiamiento."/>
    <s v="Compromisos y reservas Fondo de Incentivos según convocatorias del MICITT"/>
  </r>
  <r>
    <s v="_6_TRANSFERENCIAS_CORRIENTES"/>
    <s v="6.05 TRANSFERENCIAS CORRIENTES A EMPRESAS PRIVADAS"/>
    <s v="6.05.01 Transferencias corrientes a empresas privadas"/>
    <m/>
    <m/>
    <m/>
    <m/>
    <m/>
    <m/>
    <n v="11187581"/>
    <m/>
    <m/>
    <m/>
    <n v="11187581"/>
    <m/>
    <n v="11187581"/>
    <m/>
    <n v="0"/>
    <x v="5"/>
    <s v="1 Promoción de la Ciencia, Tecnología e Innovación"/>
    <s v="01-06 Unidad Gestión del Financiamiento"/>
    <s v="GF0306"/>
    <m/>
    <s v="GF0101"/>
    <m/>
    <s v="Sustitución de FF"/>
  </r>
  <r>
    <s v="_6_TRANSFERENCIAS_CORRIENTES"/>
    <s v="6.06 OTRAS TRANSFERENCIAS CORRIENTES AL SECTOR PRIVADO"/>
    <s v="6.06.01 Indemnizaciones"/>
    <n v="2500000"/>
    <m/>
    <m/>
    <m/>
    <m/>
    <m/>
    <m/>
    <m/>
    <m/>
    <m/>
    <n v="2500000"/>
    <n v="0"/>
    <n v="0"/>
    <n v="0"/>
    <n v="2500000"/>
    <x v="0"/>
    <s v="2 Gestión Administrativa"/>
    <s v="02-05 Asesoría Legal"/>
    <s v="AL0301"/>
    <s v="Ejecutar 90% PRESU TC 5048 AL"/>
    <s v="AL0101"/>
    <s v="Ejecutar el 90% del Plan de Trabajo de la Asesoría Legal."/>
    <s v="Monto previsto para contingencias ante denuncias, contrademandas, etc"/>
  </r>
  <r>
    <s v="_6_TRANSFERENCIAS_CORRIENTES"/>
    <s v="6.07 TRANSFERENCIAS CORRIENTES AL SECTOR EXTERNO"/>
    <s v="6.07.01 Transferencias corrientes a organismos internacionales"/>
    <n v="5733333.3300000001"/>
    <m/>
    <m/>
    <m/>
    <n v="4067000"/>
    <m/>
    <m/>
    <m/>
    <m/>
    <m/>
    <n v="9800333.3300000001"/>
    <n v="0"/>
    <n v="0"/>
    <n v="9800276"/>
    <n v="57.330000000074506"/>
    <x v="0"/>
    <s v="2 Gestión Administrativa"/>
    <s v="02-07 Unidad de Finanzas"/>
    <s v="FI0103"/>
    <s v="Ejecutar 90% PRESU TC 5048 FI"/>
    <s v="FI0101"/>
    <s v="Ejecutar el 90% del Plan de Trabajo de la Unidad de Finanzas"/>
    <s v="Pago de cuotas de Organismos Internacionales para el año 2021. Ministerio de Hacienda de conformidad con lo establecido en la Ley 3418 por concepto de cuotas de Organismos Internacionales para el año 2020. Se estimo con el promedio de los años monto cancelado para el período 2019.  _x000a_Y pago Interciencia"/>
  </r>
  <r>
    <s v="_6_TRANSFERENCIAS_CORRIENTES"/>
    <s v="6.07 TRANSFERENCIAS CORRIENTES AL SECTOR EXTERNO"/>
    <s v="6.07.01 Transferencias corrientes a organismos internacionales"/>
    <m/>
    <m/>
    <m/>
    <m/>
    <m/>
    <n v="187500"/>
    <m/>
    <m/>
    <m/>
    <m/>
    <n v="187500"/>
    <m/>
    <n v="0"/>
    <n v="187500"/>
    <n v="0"/>
    <x v="0"/>
    <s v="1 Promoción de la Ciencia, Tecnología e Innovación"/>
    <s v="01-05 Unidad de Vinculación y Asesoría"/>
    <s v="VA0101"/>
    <s v="Ejecutar 90% PRESU TC 5048 VA"/>
    <s v="VA0101"/>
    <s v="Ejecutar el 90% del Plan de Trabajo de la Unidad de Vinculación y Asesoría"/>
    <s v="Pago membresía Interciencia"/>
  </r>
  <r>
    <s v="_9_CUENTAS_ESPECIALES"/>
    <s v="9.02 SUMAS SIN ASIGNACIÓN PRESUPUESTARIA"/>
    <s v="9.02.01 Sumas libres sin asignación presupuestaria"/>
    <n v="17715640.949999999"/>
    <m/>
    <m/>
    <m/>
    <n v="-16361000"/>
    <n v="-187500"/>
    <m/>
    <m/>
    <n v="-216300"/>
    <m/>
    <n v="950840.94999999925"/>
    <m/>
    <n v="0"/>
    <n v="0"/>
    <n v="950840.94999999925"/>
    <x v="0"/>
    <s v="1 Promoción de la Ciencia, Tecnología e Innovación"/>
    <s v="01-02 Dirección de Promoción de Ciencia, Tecnología e Innovación"/>
    <s v="DP0101"/>
    <s v="Ejecutar 90% PRESU-planilla TC-5048 DP"/>
    <s v="DP0101"/>
    <s v="Ejecutar 90% de la planilla de la Dirección de Promoción"/>
    <s v="Por improbación de la CGR"/>
  </r>
  <r>
    <s v="_9_CUENTAS_ESPECIALES"/>
    <s v="9.02 SUMAS SIN ASIGNACIÓN PRESUPUESTARIA"/>
    <s v="9.02.01 Sumas libres sin asignación presupuestaria"/>
    <n v="20899230.359999999"/>
    <n v="-3380000"/>
    <m/>
    <m/>
    <n v="-8746448.0600000005"/>
    <m/>
    <m/>
    <m/>
    <n v="-8220000"/>
    <m/>
    <n v="552782.29999999888"/>
    <m/>
    <n v="0"/>
    <n v="0"/>
    <n v="552782.29999999888"/>
    <x v="0"/>
    <s v="2 Gestión Administrativa"/>
    <s v="02-06 Dirección de Soporte Administrativo"/>
    <s v="DSA0101"/>
    <s v="Ejecutar 90% PRESU-planilla TC-5048 DSA"/>
    <s v="SA0101"/>
    <s v="Ejecutar 90% de la planilla de Gestion Administrativa"/>
    <s v="Por improbación de la CGR"/>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C7FE008-D7D4-4B86-96FC-A780555428FE}"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F13" firstHeaderRow="0" firstDataRow="1" firstDataCol="1"/>
  <pivotFields count="26">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167" showAll="0"/>
    <pivotField dataField="1" showAll="0"/>
    <pivotField dataField="1" showAll="0"/>
    <pivotField dataField="1" showAll="0"/>
    <pivotField dataField="1" numFmtId="167" showAll="0"/>
    <pivotField axis="axisRow" showAll="0">
      <items count="10">
        <item x="1"/>
        <item x="0"/>
        <item x="4"/>
        <item x="8"/>
        <item x="6"/>
        <item x="3"/>
        <item x="5"/>
        <item x="2"/>
        <item x="7"/>
        <item t="default"/>
      </items>
    </pivotField>
    <pivotField showAll="0"/>
    <pivotField showAll="0"/>
    <pivotField showAll="0"/>
    <pivotField showAll="0"/>
    <pivotField showAll="0"/>
    <pivotField showAll="0"/>
    <pivotField showAll="0"/>
  </pivotFields>
  <rowFields count="1">
    <field x="18"/>
  </rowFields>
  <rowItems count="10">
    <i>
      <x/>
    </i>
    <i>
      <x v="1"/>
    </i>
    <i>
      <x v="2"/>
    </i>
    <i>
      <x v="3"/>
    </i>
    <i>
      <x v="4"/>
    </i>
    <i>
      <x v="5"/>
    </i>
    <i>
      <x v="6"/>
    </i>
    <i>
      <x v="7"/>
    </i>
    <i>
      <x v="8"/>
    </i>
    <i t="grand">
      <x/>
    </i>
  </rowItems>
  <colFields count="1">
    <field x="-2"/>
  </colFields>
  <colItems count="5">
    <i>
      <x/>
    </i>
    <i i="1">
      <x v="1"/>
    </i>
    <i i="2">
      <x v="2"/>
    </i>
    <i i="3">
      <x v="3"/>
    </i>
    <i i="4">
      <x v="4"/>
    </i>
  </colItems>
  <dataFields count="5">
    <dataField name="Suma de Presupuesto total" fld="13" baseField="0" baseItem="0"/>
    <dataField name="Suma de Resevas" fld="14" baseField="0" baseItem="0"/>
    <dataField name="Suma de Compromisos " fld="15" baseField="0" baseItem="0"/>
    <dataField name="Suma de Ejecutado" fld="16" baseField="0" baseItem="0"/>
    <dataField name="Suma de Saldo disponible" fld="17" baseField="0" baseItem="0"/>
  </dataFields>
  <formats count="2">
    <format dxfId="85">
      <pivotArea grandRow="1" outline="0" collapsedLevelsAreSubtotals="1" fieldPosition="0"/>
    </format>
    <format dxfId="84">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F4C2568-AA07-4AF0-8240-A8783FDE9679}" name="Tabla14" displayName="Tabla14" ref="B12:AA120" totalsRowCount="1" headerRowDxfId="83" dataDxfId="82" tableBorderDxfId="81">
  <autoFilter ref="B12:AA119" xr:uid="{00000000-0009-0000-0100-000003000000}"/>
  <sortState ref="B13:X115">
    <sortCondition ref="D12:D115"/>
  </sortState>
  <tableColumns count="26">
    <tableColumn id="7" xr3:uid="{525A8954-4696-483D-A3FE-D40F0D19766F}" name="Partida" dataDxfId="80" totalsRowDxfId="79"/>
    <tableColumn id="22" xr3:uid="{14294230-F952-44C7-A391-6D31C984097B}" name="Grupo" dataDxfId="78" totalsRowDxfId="77"/>
    <tableColumn id="8" xr3:uid="{096B5081-6B27-434C-8E54-14205CFBAA8C}" name="Subpartida" dataDxfId="76" totalsRowDxfId="75"/>
    <tableColumn id="24" xr3:uid="{CFFCFB34-985F-40B5-A8DA-56988782D5E0}" name="Escenario 5: Monto ajustado aprobado por la CGR" totalsRowFunction="sum" totalsRowDxfId="74"/>
    <tableColumn id="28" xr3:uid="{AA69C69D-DB00-4083-82ED-711D14F465DD}" name="Modificación 01-2021" totalsRowFunction="sum" dataDxfId="73" totalsRowDxfId="72"/>
    <tableColumn id="21" xr3:uid="{F7C7D273-42C1-4F26-BCC8-E0913B4241E4}" name="MN01-2021" totalsRowFunction="sum" dataDxfId="71" totalsRowDxfId="70"/>
    <tableColumn id="33" xr3:uid="{7C3B54CE-710D-40BB-BA5E-EFF4EF159138}" name="MN02-2022" totalsRowFunction="sum" dataDxfId="69" totalsRowDxfId="68"/>
    <tableColumn id="34" xr3:uid="{F124A9C0-2A15-4B28-8E12-6467E645D452}" name="Modificación 02-2021" totalsRowFunction="sum" dataDxfId="67" totalsRowDxfId="66"/>
    <tableColumn id="1" xr3:uid="{7686A87F-4812-444A-9100-DBBC28767A96}" name="Modificación 03-2021" totalsRowFunction="sum" dataDxfId="65" totalsRowDxfId="64"/>
    <tableColumn id="2" xr3:uid="{38C05001-6801-49CD-904F-DEEADAB3EEF0}" name="PE-01-2021" totalsRowFunction="sum" dataDxfId="63" totalsRowDxfId="62"/>
    <tableColumn id="3" xr3:uid="{BDD28D02-A0C8-417D-B755-1DE71D391450}" name="MN03-20221" totalsRowFunction="sum" dataDxfId="61" totalsRowDxfId="60"/>
    <tableColumn id="5" xr3:uid="{323D8A7C-9A5A-4D42-953E-07703489BEC6}" name="Modificación 04-2021" totalsRowFunction="sum" dataDxfId="59" totalsRowDxfId="58"/>
    <tableColumn id="4" xr3:uid="{8CF58C6B-18DC-4F8E-A700-AF9FC850D08B}" name="MN04-202212" dataDxfId="57" totalsRowDxfId="56"/>
    <tableColumn id="29" xr3:uid="{07470B17-BCCC-4D1C-A4FC-4BA2F8015E3D}" name="Presupuesto total" totalsRowFunction="sum" dataDxfId="55" totalsRowDxfId="54">
      <calculatedColumnFormula>+Tabla14[[#This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calculatedColumnFormula>
    </tableColumn>
    <tableColumn id="30" xr3:uid="{590C6A2C-8B79-4E52-A1F0-3F7A5CC66AAC}" name="Resevas" totalsRowFunction="sum" dataDxfId="53" totalsRowDxfId="52"/>
    <tableColumn id="25" xr3:uid="{6CDC6406-1F15-439A-B9CE-767203ECDB65}" name="Compromisos " totalsRowFunction="sum" dataDxfId="51" totalsRowDxfId="50"/>
    <tableColumn id="32" xr3:uid="{1FCFAEAF-D9BA-49A3-BCE0-FFBADCCF3969}" name="Ejecutado" totalsRowFunction="sum" dataDxfId="49" totalsRowDxfId="48"/>
    <tableColumn id="31" xr3:uid="{883F94CD-005C-4F8A-B1E8-C2915CB1D898}" name="Saldo disponible" totalsRowFunction="sum" dataDxfId="47" totalsRowDxfId="46">
      <calculatedColumnFormula>+Tabla14[[#This Row],[Presupuesto total]]-Tabla14[[#This Row],[Resevas]]-Tabla14[[#This Row],[Compromisos ]]-Tabla14[[#This Row],[Ejecutado]]</calculatedColumnFormula>
    </tableColumn>
    <tableColumn id="14" xr3:uid="{3672ECB3-3FC9-4D70-8E33-358848B8721C}" name="Fuente de Financiamiento" dataDxfId="45" totalsRowDxfId="44"/>
    <tableColumn id="15" xr3:uid="{0F9F9D43-944C-4F3B-8C8F-CB320A01F773}" name="Programa presupuestario" totalsRowDxfId="43"/>
    <tableColumn id="19" xr3:uid="{BE238033-8CFB-433F-BDBF-DABCB206A336}" name="Centro costos" dataDxfId="42" totalsRowDxfId="41"/>
    <tableColumn id="16" xr3:uid="{7EC44118-945B-4D0E-AA9A-1FDDA3A6E643}" name="Código Meta Sistema Administrativo" dataDxfId="40" totalsRowDxfId="39"/>
    <tableColumn id="17" xr3:uid="{F9244D7D-A40D-4876-8AAA-3D55A4CD6BC8}" name="Nombre Meta Sistema Administrativo" dataDxfId="38" totalsRowDxfId="37"/>
    <tableColumn id="18" xr3:uid="{E8DA1868-2307-4C09-8B34-65D669140A13}" name="Código Meta Planificación POI" dataDxfId="36" totalsRowDxfId="35"/>
    <tableColumn id="26" xr3:uid="{D60C91A7-59EA-4DB3-8AF9-931875115857}" name="Meta POI" totalsRowDxfId="34"/>
    <tableColumn id="20" xr3:uid="{F81DBC37-EAD8-4263-9720-D9C3CFB6ED93}" name="Justificación detallada de la solicitud de presupuesto, en la medida de lo posible indique los parámetros utilizados para la estimación.2" dataDxfId="33"/>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F6DBF30-C8F9-4F8B-BF4C-A1D085D8EADF}" name="Tabla1343643" displayName="Tabla1343643" ref="B5:H7" totalsRowCount="1" totalsRowDxfId="30" headerRowBorderDxfId="32" tableBorderDxfId="31" totalsRowBorderDxfId="29">
  <tableColumns count="7">
    <tableColumn id="14" xr3:uid="{6DE7C319-97F8-44CC-80E8-872CFB697256}" name="Estado de la ayuda" totalsRowDxfId="28" dataCellStyle="Millares"/>
    <tableColumn id="7" xr3:uid="{E1AD25C0-ABF0-4054-9A62-4ABDA141428D}" name="Código" dataDxfId="27" totalsRowDxfId="26"/>
    <tableColumn id="8" xr3:uid="{FEB58DB4-5CC1-4647-8B83-030954BCEBE7}" name="Beneficiario" totalsRowLabel="TOTAL COMPROMISOS" dataDxfId="25" totalsRowDxfId="24"/>
    <tableColumn id="1" xr3:uid="{C9CEED0C-B61E-42CB-821C-C52FACDA7AD3}" name="Programa" dataDxfId="23" totalsRowDxfId="22" dataCellStyle="Millares"/>
    <tableColumn id="13" xr3:uid="{B85ED4B7-7D08-4EED-B9A9-C67E58AB9D60}" name="Nombre del proyecto" dataDxfId="21" totalsRowDxfId="20" dataCellStyle="Millares"/>
    <tableColumn id="9" xr3:uid="{02936937-AE52-43F9-A3DA-A2DD7486C247}" name="Saldo por girar con presupuesto 2021" totalsRowFunction="sum" dataDxfId="19" totalsRowDxfId="18" dataCellStyle="Millares"/>
    <tableColumn id="18" xr3:uid="{796290EF-66F0-4D95-89BE-3CC928E0F582}" name="Otros interéses" dataDxfId="17" totalsRowDxfId="16" dataCellStyle="Millares 2 8"/>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49913DF-2343-4956-B1B2-ACD2DB2E28C4}" name="Tabla13436443" displayName="Tabla13436443" ref="B18:H27" totalsRowCount="1" totalsRowDxfId="13" headerRowBorderDxfId="15" tableBorderDxfId="14" totalsRowBorderDxfId="12">
  <tableColumns count="7">
    <tableColumn id="14" xr3:uid="{CF602865-C413-4FE1-9327-63FE692AD948}" name="Estado de la ayuda" totalsRowDxfId="11" dataCellStyle="Millares"/>
    <tableColumn id="7" xr3:uid="{60C4F29D-3FDD-4F87-B058-14EBC8DB3C57}" name="Código" dataDxfId="10" totalsRowDxfId="9"/>
    <tableColumn id="8" xr3:uid="{8362F789-1BE5-4D48-AB46-53A3B130F319}" name="Beneficiario" totalsRowLabel="TOTAL COMPROMISOS" dataDxfId="8" totalsRowDxfId="7"/>
    <tableColumn id="1" xr3:uid="{0018A7F1-76E0-4745-AC56-B0D34B54FAA7}" name="Programa" dataDxfId="6" totalsRowDxfId="5" dataCellStyle="Millares"/>
    <tableColumn id="13" xr3:uid="{7633E1D0-87BE-40A5-97E6-7532965793E6}" name="Nombre del proyecto" dataDxfId="4" totalsRowDxfId="3" dataCellStyle="Millares"/>
    <tableColumn id="9" xr3:uid="{9D007A0B-85A2-44E5-B90F-D3974D892F10}" name="Saldo por girar con presupuesto 2021" totalsRowFunction="sum" dataDxfId="2" totalsRowDxfId="1" dataCellStyle="Millares"/>
    <tableColumn id="18" xr3:uid="{3D8457EF-7030-4892-8937-6D861DB4BE25}" name="Observaciones" totalsRowDxfId="0" dataCellStyle="Millares"/>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7BC7D-823E-49CE-808C-50D3A42ED584}">
  <dimension ref="A3:G37"/>
  <sheetViews>
    <sheetView workbookViewId="0">
      <selection activeCell="A8" sqref="A8"/>
    </sheetView>
  </sheetViews>
  <sheetFormatPr baseColWidth="10" defaultRowHeight="15" x14ac:dyDescent="0.25"/>
  <cols>
    <col min="1" max="1" width="54" bestFit="1" customWidth="1"/>
    <col min="2" max="2" width="25" style="1" bestFit="1" customWidth="1"/>
    <col min="3" max="3" width="16.28515625" style="1" bestFit="1" customWidth="1"/>
    <col min="4" max="4" width="21.85546875" style="1" bestFit="1" customWidth="1"/>
    <col min="5" max="5" width="17.85546875" style="1" bestFit="1" customWidth="1"/>
    <col min="6" max="6" width="24" style="1" bestFit="1" customWidth="1"/>
    <col min="7" max="7" width="10.28515625" style="1" bestFit="1" customWidth="1"/>
    <col min="8" max="30" width="11.28515625" bestFit="1" customWidth="1"/>
    <col min="31" max="64" width="12.85546875" bestFit="1" customWidth="1"/>
    <col min="65" max="93" width="13.85546875" bestFit="1" customWidth="1"/>
    <col min="94" max="97" width="14.85546875" bestFit="1" customWidth="1"/>
    <col min="98" max="98" width="12.5703125" bestFit="1" customWidth="1"/>
  </cols>
  <sheetData>
    <row r="3" spans="1:7" x14ac:dyDescent="0.25">
      <c r="A3" s="298" t="s">
        <v>436</v>
      </c>
      <c r="B3" s="16" t="s">
        <v>437</v>
      </c>
      <c r="C3" s="16" t="s">
        <v>438</v>
      </c>
      <c r="D3" s="16" t="s">
        <v>439</v>
      </c>
      <c r="E3" s="16" t="s">
        <v>440</v>
      </c>
      <c r="F3" s="16" t="s">
        <v>441</v>
      </c>
    </row>
    <row r="4" spans="1:7" x14ac:dyDescent="0.25">
      <c r="A4" s="299" t="s">
        <v>22</v>
      </c>
      <c r="B4" s="412">
        <v>3696301.35</v>
      </c>
      <c r="C4" s="412">
        <v>600000</v>
      </c>
      <c r="D4" s="412">
        <v>0</v>
      </c>
      <c r="E4" s="412">
        <v>0</v>
      </c>
      <c r="F4" s="412">
        <v>3096301.35</v>
      </c>
    </row>
    <row r="5" spans="1:7" s="3" customFormat="1" x14ac:dyDescent="0.25">
      <c r="A5" s="299" t="s">
        <v>15</v>
      </c>
      <c r="B5" s="412">
        <v>1243486757.0000002</v>
      </c>
      <c r="C5" s="412">
        <v>39654344.759999998</v>
      </c>
      <c r="D5" s="412">
        <v>24075515.450000003</v>
      </c>
      <c r="E5" s="412">
        <v>780578927.91000021</v>
      </c>
      <c r="F5" s="412">
        <v>399177968.88000011</v>
      </c>
      <c r="G5" s="161"/>
    </row>
    <row r="6" spans="1:7" s="3" customFormat="1" x14ac:dyDescent="0.25">
      <c r="A6" s="299" t="s">
        <v>16</v>
      </c>
      <c r="B6" s="412">
        <v>262603199</v>
      </c>
      <c r="C6" s="412">
        <v>1443562</v>
      </c>
      <c r="D6" s="412">
        <v>0</v>
      </c>
      <c r="E6" s="412">
        <v>261159637</v>
      </c>
      <c r="F6" s="412">
        <v>0</v>
      </c>
      <c r="G6" s="161"/>
    </row>
    <row r="7" spans="1:7" s="3" customFormat="1" x14ac:dyDescent="0.25">
      <c r="A7" s="299" t="s">
        <v>17</v>
      </c>
      <c r="B7" s="412">
        <v>97937257.010000005</v>
      </c>
      <c r="C7" s="412"/>
      <c r="D7" s="412"/>
      <c r="E7" s="412">
        <v>73452942.879999995</v>
      </c>
      <c r="F7" s="412">
        <v>24484314.13000001</v>
      </c>
      <c r="G7" s="161"/>
    </row>
    <row r="8" spans="1:7" s="3" customFormat="1" x14ac:dyDescent="0.25">
      <c r="A8" s="299" t="s">
        <v>24</v>
      </c>
      <c r="B8" s="412">
        <v>0</v>
      </c>
      <c r="C8" s="412">
        <v>0</v>
      </c>
      <c r="D8" s="412">
        <v>0</v>
      </c>
      <c r="E8" s="412"/>
      <c r="F8" s="412">
        <v>0</v>
      </c>
      <c r="G8" s="161"/>
    </row>
    <row r="9" spans="1:7" s="3" customFormat="1" x14ac:dyDescent="0.25">
      <c r="A9" s="299" t="s">
        <v>18</v>
      </c>
      <c r="B9" s="412">
        <v>9345481.6999999993</v>
      </c>
      <c r="C9" s="412">
        <v>3815320.57</v>
      </c>
      <c r="D9" s="412">
        <v>0</v>
      </c>
      <c r="E9" s="412">
        <v>5530161.1299999999</v>
      </c>
      <c r="F9" s="412">
        <v>0</v>
      </c>
      <c r="G9" s="161"/>
    </row>
    <row r="10" spans="1:7" s="3" customFormat="1" x14ac:dyDescent="0.25">
      <c r="A10" s="299" t="s">
        <v>59</v>
      </c>
      <c r="B10" s="412">
        <v>166900820.00999999</v>
      </c>
      <c r="C10" s="412">
        <v>45893197.010000005</v>
      </c>
      <c r="D10" s="412">
        <v>59224020</v>
      </c>
      <c r="E10" s="412">
        <v>61783603</v>
      </c>
      <c r="F10" s="412">
        <v>0</v>
      </c>
      <c r="G10" s="161"/>
    </row>
    <row r="11" spans="1:7" s="3" customFormat="1" x14ac:dyDescent="0.25">
      <c r="A11" s="299" t="s">
        <v>19</v>
      </c>
      <c r="B11" s="412">
        <v>3063249.26</v>
      </c>
      <c r="C11" s="412">
        <v>3063249.26</v>
      </c>
      <c r="D11" s="412"/>
      <c r="E11" s="412"/>
      <c r="F11" s="412">
        <v>0</v>
      </c>
      <c r="G11" s="161"/>
    </row>
    <row r="12" spans="1:7" s="3" customFormat="1" x14ac:dyDescent="0.25">
      <c r="A12" s="299" t="s">
        <v>398</v>
      </c>
      <c r="B12" s="412">
        <v>50867820</v>
      </c>
      <c r="C12" s="412">
        <v>0</v>
      </c>
      <c r="D12" s="412">
        <v>35991956</v>
      </c>
      <c r="E12" s="412">
        <v>14875864</v>
      </c>
      <c r="F12" s="412">
        <v>0</v>
      </c>
      <c r="G12" s="161"/>
    </row>
    <row r="13" spans="1:7" s="3" customFormat="1" x14ac:dyDescent="0.25">
      <c r="A13" s="160" t="s">
        <v>1</v>
      </c>
      <c r="B13" s="415">
        <v>1837900885.3300002</v>
      </c>
      <c r="C13" s="415">
        <v>94469673.600000009</v>
      </c>
      <c r="D13" s="415">
        <v>119291491.45</v>
      </c>
      <c r="E13" s="415">
        <v>1197381135.9200003</v>
      </c>
      <c r="F13" s="415">
        <v>426758584.36000013</v>
      </c>
      <c r="G13" s="161"/>
    </row>
    <row r="14" spans="1:7" s="3" customFormat="1" x14ac:dyDescent="0.25">
      <c r="A14"/>
      <c r="B14" s="1"/>
      <c r="C14" s="1"/>
      <c r="D14" s="1"/>
      <c r="E14" s="1"/>
      <c r="F14"/>
      <c r="G14" s="161"/>
    </row>
    <row r="15" spans="1:7" s="3" customFormat="1" x14ac:dyDescent="0.25">
      <c r="A15"/>
      <c r="B15" s="1"/>
      <c r="C15" s="1"/>
      <c r="D15" s="1"/>
      <c r="E15" s="1"/>
      <c r="F15"/>
      <c r="G15" s="161"/>
    </row>
    <row r="16" spans="1:7" s="3" customFormat="1" x14ac:dyDescent="0.25">
      <c r="A16"/>
      <c r="B16" s="1"/>
      <c r="C16" s="1"/>
      <c r="D16" s="1"/>
      <c r="E16" s="1"/>
      <c r="F16"/>
      <c r="G16" s="161"/>
    </row>
    <row r="17" spans="1:7" s="3" customFormat="1" x14ac:dyDescent="0.25">
      <c r="A17"/>
      <c r="B17" s="1"/>
      <c r="C17" s="1"/>
      <c r="D17" s="1"/>
      <c r="E17" s="1"/>
      <c r="F17"/>
      <c r="G17" s="161"/>
    </row>
    <row r="18" spans="1:7" s="3" customFormat="1" x14ac:dyDescent="0.25">
      <c r="A18"/>
      <c r="B18" s="1"/>
      <c r="C18" s="1"/>
      <c r="D18" s="1"/>
      <c r="E18" s="1"/>
      <c r="F18"/>
      <c r="G18" s="161"/>
    </row>
    <row r="19" spans="1:7" s="3" customFormat="1" x14ac:dyDescent="0.25">
      <c r="A19"/>
      <c r="B19" s="1"/>
      <c r="C19" s="1"/>
      <c r="D19" s="1"/>
      <c r="E19" s="1"/>
      <c r="F19"/>
      <c r="G19" s="161"/>
    </row>
    <row r="20" spans="1:7" s="3" customFormat="1" x14ac:dyDescent="0.25">
      <c r="A20"/>
      <c r="B20" s="1"/>
      <c r="C20" s="1"/>
      <c r="D20" s="1"/>
      <c r="E20" s="1"/>
      <c r="F20"/>
      <c r="G20" s="161"/>
    </row>
    <row r="21" spans="1:7" x14ac:dyDescent="0.25">
      <c r="F21"/>
    </row>
    <row r="22" spans="1:7" x14ac:dyDescent="0.25">
      <c r="F22"/>
    </row>
    <row r="23" spans="1:7" x14ac:dyDescent="0.25">
      <c r="F23"/>
    </row>
    <row r="24" spans="1:7" x14ac:dyDescent="0.25">
      <c r="F24"/>
    </row>
    <row r="25" spans="1:7" x14ac:dyDescent="0.25">
      <c r="F25"/>
    </row>
    <row r="26" spans="1:7" x14ac:dyDescent="0.25">
      <c r="F26"/>
    </row>
    <row r="27" spans="1:7" x14ac:dyDescent="0.25">
      <c r="F27"/>
    </row>
    <row r="28" spans="1:7" x14ac:dyDescent="0.25">
      <c r="F28"/>
    </row>
    <row r="29" spans="1:7" x14ac:dyDescent="0.25">
      <c r="F29"/>
    </row>
    <row r="30" spans="1:7" x14ac:dyDescent="0.25">
      <c r="F30"/>
    </row>
    <row r="31" spans="1:7" x14ac:dyDescent="0.25">
      <c r="F31"/>
    </row>
    <row r="32" spans="1:7" x14ac:dyDescent="0.25">
      <c r="F32"/>
    </row>
    <row r="33" spans="6:6" x14ac:dyDescent="0.25">
      <c r="F33"/>
    </row>
    <row r="34" spans="6:6" x14ac:dyDescent="0.25">
      <c r="F34"/>
    </row>
    <row r="35" spans="6:6" x14ac:dyDescent="0.25">
      <c r="F35"/>
    </row>
    <row r="36" spans="6:6" x14ac:dyDescent="0.25">
      <c r="F36"/>
    </row>
    <row r="37" spans="6:6" x14ac:dyDescent="0.25">
      <c r="F37"/>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5E76C-7F31-4EE0-BFBE-111757EB9AA2}">
  <sheetPr>
    <pageSetUpPr fitToPage="1"/>
  </sheetPr>
  <dimension ref="B2:I39"/>
  <sheetViews>
    <sheetView showGridLines="0" zoomScaleNormal="100" workbookViewId="0">
      <selection activeCell="D33" sqref="D33"/>
    </sheetView>
  </sheetViews>
  <sheetFormatPr baseColWidth="10" defaultRowHeight="15" x14ac:dyDescent="0.25"/>
  <cols>
    <col min="1" max="1" width="11.42578125" style="16"/>
    <col min="2" max="2" width="54.7109375" style="16" customWidth="1"/>
    <col min="3" max="3" width="19.42578125" style="1" bestFit="1" customWidth="1"/>
    <col min="4" max="4" width="16.5703125" style="1" bestFit="1" customWidth="1"/>
    <col min="5" max="5" width="17.7109375" style="1" bestFit="1" customWidth="1"/>
    <col min="6" max="7" width="19.42578125" style="1" bestFit="1" customWidth="1"/>
    <col min="8" max="8" width="10.85546875" style="80" bestFit="1" customWidth="1"/>
    <col min="9" max="9" width="16.7109375" style="16" bestFit="1" customWidth="1"/>
    <col min="10" max="10" width="15.5703125" style="16" bestFit="1" customWidth="1"/>
    <col min="11" max="16384" width="11.42578125" style="16"/>
  </cols>
  <sheetData>
    <row r="2" spans="2:9" ht="15.75" x14ac:dyDescent="0.25">
      <c r="B2" s="468"/>
      <c r="C2" s="468"/>
      <c r="D2" s="468"/>
      <c r="E2" s="468"/>
      <c r="F2" s="468"/>
      <c r="G2" s="468"/>
      <c r="H2" s="468"/>
    </row>
    <row r="4" spans="2:9" ht="30" x14ac:dyDescent="0.25">
      <c r="B4" s="11" t="s">
        <v>63</v>
      </c>
      <c r="C4" s="11" t="s">
        <v>64</v>
      </c>
      <c r="D4" s="11" t="s">
        <v>103</v>
      </c>
      <c r="E4" s="11" t="s">
        <v>102</v>
      </c>
      <c r="F4" s="11" t="s">
        <v>85</v>
      </c>
      <c r="G4" s="11" t="s">
        <v>20</v>
      </c>
      <c r="H4" s="11" t="s">
        <v>14</v>
      </c>
    </row>
    <row r="5" spans="2:9" ht="15.75" x14ac:dyDescent="0.25">
      <c r="B5" s="24" t="s">
        <v>77</v>
      </c>
      <c r="C5" s="25">
        <f>+C6+C8+C13+C15+C17+C19+C21</f>
        <v>1079147644.4499998</v>
      </c>
      <c r="D5" s="25">
        <f>+D6+D8+D13+D15+D17+D19+D21</f>
        <v>47936759.010000005</v>
      </c>
      <c r="E5" s="25">
        <f t="shared" ref="E5" si="0">+E6+E8+E13+E15+E17+E19+E21</f>
        <v>95215976</v>
      </c>
      <c r="F5" s="25">
        <f>+F6+F8+F13+F15+F17+F19+F21</f>
        <v>732069612.66999996</v>
      </c>
      <c r="G5" s="25">
        <f>+G6+G8+G13+G15+G17+G19+G21</f>
        <v>203925296.76999992</v>
      </c>
      <c r="H5" s="77">
        <f>+F5/C5</f>
        <v>0.67837762185276118</v>
      </c>
    </row>
    <row r="6" spans="2:9" s="416" customFormat="1" ht="18" customHeight="1" x14ac:dyDescent="0.25">
      <c r="B6" s="76" t="s">
        <v>86</v>
      </c>
      <c r="C6" s="30">
        <f>SUM(C7:C7)</f>
        <v>600000</v>
      </c>
      <c r="D6" s="30">
        <f>SUM(D7:D7)</f>
        <v>600000</v>
      </c>
      <c r="E6" s="30">
        <f>SUM(E7:E7)</f>
        <v>0</v>
      </c>
      <c r="F6" s="30">
        <f>+F7</f>
        <v>0</v>
      </c>
      <c r="G6" s="30">
        <f>+G7</f>
        <v>0</v>
      </c>
      <c r="H6" s="78">
        <f t="shared" ref="H6:H16" si="1">+F6/C6</f>
        <v>0</v>
      </c>
    </row>
    <row r="7" spans="2:9" s="3" customFormat="1" x14ac:dyDescent="0.25">
      <c r="B7" s="28" t="s">
        <v>435</v>
      </c>
      <c r="C7" s="29">
        <v>600000</v>
      </c>
      <c r="D7" s="29">
        <v>600000</v>
      </c>
      <c r="E7" s="29"/>
      <c r="F7" s="29">
        <v>0</v>
      </c>
      <c r="G7" s="29">
        <f>+C7-D7-E7-F7</f>
        <v>0</v>
      </c>
      <c r="H7" s="79">
        <f t="shared" si="1"/>
        <v>0</v>
      </c>
    </row>
    <row r="8" spans="2:9" s="416" customFormat="1" ht="18" customHeight="1" x14ac:dyDescent="0.25">
      <c r="B8" s="76" t="s">
        <v>87</v>
      </c>
      <c r="C8" s="30">
        <f>SUM(C9:C12)</f>
        <v>500238548.42999995</v>
      </c>
      <c r="D8" s="30">
        <f t="shared" ref="D8:F8" si="2">SUM(D9:D12)</f>
        <v>0</v>
      </c>
      <c r="E8" s="30">
        <f t="shared" si="2"/>
        <v>0</v>
      </c>
      <c r="F8" s="30">
        <f t="shared" si="2"/>
        <v>320797565.79000002</v>
      </c>
      <c r="G8" s="30">
        <f>SUM(G9:G12)</f>
        <v>179440982.6399999</v>
      </c>
      <c r="H8" s="78">
        <f>+F8/C8</f>
        <v>0.64128917452848055</v>
      </c>
    </row>
    <row r="9" spans="2:9" s="3" customFormat="1" x14ac:dyDescent="0.25">
      <c r="B9" s="28" t="s">
        <v>78</v>
      </c>
      <c r="C9" s="29">
        <v>494576457.47999996</v>
      </c>
      <c r="D9" s="29">
        <f>+E11</f>
        <v>0</v>
      </c>
      <c r="E9" s="29">
        <v>0</v>
      </c>
      <c r="F9" s="29">
        <v>320336253.01000005</v>
      </c>
      <c r="G9" s="29">
        <f>+C9-D9-E9-F9</f>
        <v>174240204.46999991</v>
      </c>
      <c r="H9" s="79">
        <f>+F9/C9</f>
        <v>0.64769814285580718</v>
      </c>
    </row>
    <row r="10" spans="2:9" s="3" customFormat="1" x14ac:dyDescent="0.25">
      <c r="B10" s="28" t="s">
        <v>60</v>
      </c>
      <c r="C10" s="29">
        <v>23750</v>
      </c>
      <c r="D10" s="29">
        <v>0</v>
      </c>
      <c r="E10" s="29">
        <v>0</v>
      </c>
      <c r="F10" s="29"/>
      <c r="G10" s="29">
        <f t="shared" ref="G10:G12" si="3">+C10-D10-E10-F10</f>
        <v>23750</v>
      </c>
      <c r="H10" s="79">
        <f>+F10/C10</f>
        <v>0</v>
      </c>
    </row>
    <row r="11" spans="2:9" s="3" customFormat="1" x14ac:dyDescent="0.25">
      <c r="B11" s="28" t="s">
        <v>23</v>
      </c>
      <c r="C11" s="29">
        <v>4687500</v>
      </c>
      <c r="D11" s="29">
        <v>0</v>
      </c>
      <c r="E11" s="29">
        <v>0</v>
      </c>
      <c r="F11" s="29">
        <f>460520.78+792</f>
        <v>461312.78</v>
      </c>
      <c r="G11" s="29">
        <f t="shared" si="3"/>
        <v>4226187.22</v>
      </c>
      <c r="H11" s="79">
        <f>+F11/C11</f>
        <v>9.8413393066666674E-2</v>
      </c>
    </row>
    <row r="12" spans="2:9" s="3" customFormat="1" x14ac:dyDescent="0.25">
      <c r="B12" s="28" t="s">
        <v>61</v>
      </c>
      <c r="C12" s="29">
        <v>950840.94999999925</v>
      </c>
      <c r="D12" s="29">
        <v>0</v>
      </c>
      <c r="E12" s="29">
        <v>0</v>
      </c>
      <c r="F12" s="29">
        <v>0</v>
      </c>
      <c r="G12" s="29">
        <f t="shared" si="3"/>
        <v>950840.94999999925</v>
      </c>
      <c r="H12" s="79">
        <f>+F12/C12</f>
        <v>0</v>
      </c>
    </row>
    <row r="13" spans="2:9" s="416" customFormat="1" ht="28.5" customHeight="1" x14ac:dyDescent="0.25">
      <c r="B13" s="31" t="s">
        <v>88</v>
      </c>
      <c r="C13" s="32">
        <f>SUM(C14:C14)</f>
        <v>262603199</v>
      </c>
      <c r="D13" s="32">
        <f t="shared" ref="D13:E13" si="4">SUM(D14:D14)</f>
        <v>1443562</v>
      </c>
      <c r="E13" s="32">
        <f t="shared" si="4"/>
        <v>0</v>
      </c>
      <c r="F13" s="32">
        <f>+F14</f>
        <v>261159637</v>
      </c>
      <c r="G13" s="32">
        <f>+G14</f>
        <v>0</v>
      </c>
      <c r="H13" s="78">
        <f t="shared" si="1"/>
        <v>0.99450287732404963</v>
      </c>
      <c r="I13" s="417"/>
    </row>
    <row r="14" spans="2:9" s="3" customFormat="1" x14ac:dyDescent="0.25">
      <c r="B14" s="28" t="s">
        <v>23</v>
      </c>
      <c r="C14" s="29">
        <v>262603199</v>
      </c>
      <c r="D14" s="29">
        <v>1443562</v>
      </c>
      <c r="E14" s="29">
        <v>0</v>
      </c>
      <c r="F14" s="29">
        <v>261159637</v>
      </c>
      <c r="G14" s="29">
        <f>+C14-D14-E14-F14</f>
        <v>0</v>
      </c>
      <c r="H14" s="79">
        <f t="shared" si="1"/>
        <v>0.99450287732404963</v>
      </c>
      <c r="I14" s="418"/>
    </row>
    <row r="15" spans="2:9" s="416" customFormat="1" ht="18" customHeight="1" x14ac:dyDescent="0.25">
      <c r="B15" s="76" t="s">
        <v>89</v>
      </c>
      <c r="C15" s="30">
        <f>+C16</f>
        <v>97937257.010000005</v>
      </c>
      <c r="D15" s="30">
        <f t="shared" ref="D15:E15" si="5">+D16</f>
        <v>0</v>
      </c>
      <c r="E15" s="30">
        <f t="shared" si="5"/>
        <v>0</v>
      </c>
      <c r="F15" s="30">
        <f>+F16</f>
        <v>73452942.879999995</v>
      </c>
      <c r="G15" s="30">
        <f>+C15-F15</f>
        <v>24484314.13000001</v>
      </c>
      <c r="H15" s="78">
        <f t="shared" si="1"/>
        <v>0.75000000125080069</v>
      </c>
    </row>
    <row r="16" spans="2:9" s="3" customFormat="1" x14ac:dyDescent="0.25">
      <c r="B16" s="28" t="s">
        <v>23</v>
      </c>
      <c r="C16" s="29">
        <v>97937257.010000005</v>
      </c>
      <c r="D16" s="29">
        <v>0</v>
      </c>
      <c r="E16" s="29">
        <v>0</v>
      </c>
      <c r="F16" s="29">
        <v>73452942.879999995</v>
      </c>
      <c r="G16" s="29">
        <f>+C16-F16</f>
        <v>24484314.13000001</v>
      </c>
      <c r="H16" s="79">
        <f t="shared" si="1"/>
        <v>0.75000000125080069</v>
      </c>
      <c r="I16" s="161"/>
    </row>
    <row r="17" spans="2:9" s="416" customFormat="1" ht="18" hidden="1" customHeight="1" x14ac:dyDescent="0.25">
      <c r="B17" s="76" t="s">
        <v>90</v>
      </c>
      <c r="C17" s="30">
        <f>+C18</f>
        <v>0</v>
      </c>
      <c r="D17" s="30">
        <f t="shared" ref="D17:E17" si="6">+D18</f>
        <v>0</v>
      </c>
      <c r="E17" s="30">
        <f t="shared" si="6"/>
        <v>0</v>
      </c>
      <c r="F17" s="30"/>
      <c r="G17" s="30">
        <f>+G18</f>
        <v>0</v>
      </c>
      <c r="H17" s="78">
        <v>0</v>
      </c>
      <c r="I17" s="419"/>
    </row>
    <row r="18" spans="2:9" s="3" customFormat="1" hidden="1" x14ac:dyDescent="0.25">
      <c r="B18" s="420" t="s">
        <v>23</v>
      </c>
      <c r="C18" s="132">
        <v>0</v>
      </c>
      <c r="D18" s="132">
        <v>0</v>
      </c>
      <c r="E18" s="132">
        <v>0</v>
      </c>
      <c r="F18" s="132">
        <v>0</v>
      </c>
      <c r="G18" s="132">
        <f>+C18-D18-E18-F18</f>
        <v>0</v>
      </c>
      <c r="H18" s="133">
        <v>0</v>
      </c>
      <c r="I18" s="159"/>
    </row>
    <row r="19" spans="2:9" s="416" customFormat="1" ht="28.5" customHeight="1" x14ac:dyDescent="0.25">
      <c r="B19" s="31" t="s">
        <v>431</v>
      </c>
      <c r="C19" s="32">
        <f>SUM(C20:C20)</f>
        <v>166900820.00999999</v>
      </c>
      <c r="D19" s="32">
        <f t="shared" ref="D19:E19" si="7">SUM(D20:D20)</f>
        <v>45893197.010000005</v>
      </c>
      <c r="E19" s="32">
        <f t="shared" si="7"/>
        <v>59224020</v>
      </c>
      <c r="F19" s="32">
        <f>+F20</f>
        <v>61783603</v>
      </c>
      <c r="G19" s="32">
        <f>+G20</f>
        <v>0</v>
      </c>
      <c r="H19" s="78">
        <f t="shared" ref="H19:H22" si="8">+F19/C19</f>
        <v>0.3701815425250648</v>
      </c>
      <c r="I19" s="417"/>
    </row>
    <row r="20" spans="2:9" s="3" customFormat="1" x14ac:dyDescent="0.25">
      <c r="B20" s="28" t="s">
        <v>23</v>
      </c>
      <c r="C20" s="29">
        <v>166900820.00999999</v>
      </c>
      <c r="D20" s="29">
        <v>45893197.010000005</v>
      </c>
      <c r="E20" s="29">
        <v>59224020</v>
      </c>
      <c r="F20" s="29">
        <v>61783603</v>
      </c>
      <c r="G20" s="29">
        <f>+C20-D20-E20-F20</f>
        <v>0</v>
      </c>
      <c r="H20" s="79">
        <f t="shared" si="8"/>
        <v>0.3701815425250648</v>
      </c>
      <c r="I20" s="29"/>
    </row>
    <row r="21" spans="2:9" s="416" customFormat="1" ht="18" customHeight="1" x14ac:dyDescent="0.25">
      <c r="B21" s="76" t="s">
        <v>432</v>
      </c>
      <c r="C21" s="30">
        <f>+C22</f>
        <v>50867820</v>
      </c>
      <c r="D21" s="30">
        <f t="shared" ref="D21:G21" si="9">+D22</f>
        <v>0</v>
      </c>
      <c r="E21" s="30">
        <f t="shared" si="9"/>
        <v>35991956</v>
      </c>
      <c r="F21" s="30">
        <f t="shared" si="9"/>
        <v>14875864</v>
      </c>
      <c r="G21" s="30">
        <f t="shared" si="9"/>
        <v>0</v>
      </c>
      <c r="H21" s="78">
        <v>0</v>
      </c>
      <c r="I21" s="417"/>
    </row>
    <row r="22" spans="2:9" x14ac:dyDescent="0.25">
      <c r="B22" s="92" t="s">
        <v>23</v>
      </c>
      <c r="C22" s="132">
        <f>35991956+14875864</f>
        <v>50867820</v>
      </c>
      <c r="D22" s="132">
        <v>0</v>
      </c>
      <c r="E22" s="132">
        <v>35991956</v>
      </c>
      <c r="F22" s="132">
        <v>14875864</v>
      </c>
      <c r="G22" s="132">
        <f>+C22-D22-E22-F22</f>
        <v>0</v>
      </c>
      <c r="H22" s="133">
        <f t="shared" si="8"/>
        <v>0.29244154752454499</v>
      </c>
    </row>
    <row r="23" spans="2:9" x14ac:dyDescent="0.25">
      <c r="B23" s="28"/>
      <c r="C23" s="29"/>
      <c r="D23" s="29"/>
      <c r="E23" s="29"/>
      <c r="F23" s="29"/>
      <c r="G23" s="29"/>
      <c r="H23" s="79"/>
    </row>
    <row r="24" spans="2:9" ht="15.75" x14ac:dyDescent="0.25">
      <c r="B24" s="187" t="s">
        <v>62</v>
      </c>
      <c r="C24" s="188">
        <f>+C25+C27+C34+C37</f>
        <v>758753240.88</v>
      </c>
      <c r="D24" s="188">
        <f>+D25+D27+D34+D37</f>
        <v>46532914.590000004</v>
      </c>
      <c r="E24" s="188">
        <f>+E25+E27+E34+E37</f>
        <v>24075515.450000003</v>
      </c>
      <c r="F24" s="188">
        <f>+F25+F27+F34+F37</f>
        <v>465311523.25</v>
      </c>
      <c r="G24" s="188">
        <f>+G25+G27+G34+G37</f>
        <v>222833287.59</v>
      </c>
      <c r="H24" s="189">
        <f>+F24/C24</f>
        <v>0.61325803723794703</v>
      </c>
    </row>
    <row r="25" spans="2:9" s="416" customFormat="1" ht="18" customHeight="1" x14ac:dyDescent="0.25">
      <c r="B25" s="76" t="s">
        <v>86</v>
      </c>
      <c r="C25" s="30">
        <f>SUM(C26:C26)</f>
        <v>3096301.35</v>
      </c>
      <c r="D25" s="30">
        <f>SUM(D26:D26)</f>
        <v>0</v>
      </c>
      <c r="E25" s="30">
        <f>SUM(E26:E26)</f>
        <v>0</v>
      </c>
      <c r="F25" s="30">
        <f>+F26</f>
        <v>0</v>
      </c>
      <c r="G25" s="30">
        <f>+C25-F25</f>
        <v>3096301.35</v>
      </c>
      <c r="H25" s="78">
        <f t="shared" ref="H25:H34" si="10">+F25/C25</f>
        <v>0</v>
      </c>
    </row>
    <row r="26" spans="2:9" s="3" customFormat="1" x14ac:dyDescent="0.25">
      <c r="B26" s="28" t="s">
        <v>435</v>
      </c>
      <c r="C26" s="29">
        <v>3096301.35</v>
      </c>
      <c r="D26" s="29">
        <v>0</v>
      </c>
      <c r="E26" s="29"/>
      <c r="F26" s="29">
        <v>0</v>
      </c>
      <c r="G26" s="29">
        <f>+C26-F26</f>
        <v>3096301.35</v>
      </c>
      <c r="H26" s="79">
        <f t="shared" si="10"/>
        <v>0</v>
      </c>
    </row>
    <row r="27" spans="2:9" s="3" customFormat="1" x14ac:dyDescent="0.25">
      <c r="B27" s="76" t="s">
        <v>87</v>
      </c>
      <c r="C27" s="30">
        <f>SUM(C28:C33)</f>
        <v>743248208.56999993</v>
      </c>
      <c r="D27" s="30">
        <f t="shared" ref="D27:F27" si="11">SUM(D28:D33)</f>
        <v>39654344.760000005</v>
      </c>
      <c r="E27" s="30">
        <f t="shared" si="11"/>
        <v>24075515.450000003</v>
      </c>
      <c r="F27" s="30">
        <f t="shared" si="11"/>
        <v>459781362.12</v>
      </c>
      <c r="G27" s="30">
        <f>SUM(G28:G33)</f>
        <v>219736986.24000001</v>
      </c>
      <c r="H27" s="82">
        <f>+F27/C27</f>
        <v>0.61861079087511495</v>
      </c>
    </row>
    <row r="28" spans="2:9" s="416" customFormat="1" ht="18" customHeight="1" x14ac:dyDescent="0.25">
      <c r="B28" s="28" t="s">
        <v>78</v>
      </c>
      <c r="C28" s="29">
        <v>573986904.41999996</v>
      </c>
      <c r="D28" s="29">
        <v>0</v>
      </c>
      <c r="E28" s="29">
        <v>0</v>
      </c>
      <c r="F28" s="29">
        <v>387856943.43000001</v>
      </c>
      <c r="G28" s="29">
        <f>+C28-D28-E28-F28</f>
        <v>186129960.98999995</v>
      </c>
      <c r="H28" s="81">
        <f t="shared" si="10"/>
        <v>0.67572437706034461</v>
      </c>
    </row>
    <row r="29" spans="2:9" s="3" customFormat="1" x14ac:dyDescent="0.25">
      <c r="B29" s="28" t="s">
        <v>60</v>
      </c>
      <c r="C29" s="29">
        <v>114282581.40000001</v>
      </c>
      <c r="D29" s="29">
        <v>11052521.689999999</v>
      </c>
      <c r="E29" s="29">
        <v>20892339.350000001</v>
      </c>
      <c r="F29" s="29">
        <v>56694987.669999994</v>
      </c>
      <c r="G29" s="29">
        <f t="shared" ref="G29:G33" si="12">+C29-D29-E29-F29</f>
        <v>25642732.69000002</v>
      </c>
      <c r="H29" s="81">
        <f>+F29/C29</f>
        <v>0.49609474143362314</v>
      </c>
    </row>
    <row r="30" spans="2:9" s="3" customFormat="1" x14ac:dyDescent="0.25">
      <c r="B30" s="28" t="s">
        <v>80</v>
      </c>
      <c r="C30" s="29">
        <v>1945000</v>
      </c>
      <c r="D30" s="29">
        <v>1180392.8999999999</v>
      </c>
      <c r="E30" s="29">
        <v>98276.1</v>
      </c>
      <c r="F30" s="29">
        <v>161550.70000000001</v>
      </c>
      <c r="G30" s="29">
        <f t="shared" si="12"/>
        <v>504780.3000000001</v>
      </c>
      <c r="H30" s="81">
        <f>+F30/C30</f>
        <v>8.305948586118253E-2</v>
      </c>
    </row>
    <row r="31" spans="2:9" s="3" customFormat="1" x14ac:dyDescent="0.25">
      <c r="B31" s="28" t="s">
        <v>79</v>
      </c>
      <c r="C31" s="29">
        <v>31514698.82</v>
      </c>
      <c r="D31" s="29">
        <v>27421430.170000002</v>
      </c>
      <c r="E31" s="29">
        <v>3084900</v>
      </c>
      <c r="F31" s="29">
        <v>709187.28</v>
      </c>
      <c r="G31" s="29">
        <f t="shared" si="12"/>
        <v>299181.36999999848</v>
      </c>
      <c r="H31" s="81">
        <f>+F31/C31</f>
        <v>2.2503381169866436E-2</v>
      </c>
    </row>
    <row r="32" spans="2:9" s="3" customFormat="1" x14ac:dyDescent="0.25">
      <c r="B32" s="28" t="s">
        <v>23</v>
      </c>
      <c r="C32" s="29">
        <v>20966241.630000003</v>
      </c>
      <c r="D32" s="29">
        <v>0</v>
      </c>
      <c r="E32" s="29">
        <v>0</v>
      </c>
      <c r="F32" s="29">
        <f>14358417.04+276</f>
        <v>14358693.039999999</v>
      </c>
      <c r="G32" s="29">
        <f t="shared" si="12"/>
        <v>6607548.5900000036</v>
      </c>
      <c r="H32" s="81">
        <f t="shared" si="10"/>
        <v>0.68484820948808256</v>
      </c>
    </row>
    <row r="33" spans="2:8" s="3" customFormat="1" x14ac:dyDescent="0.25">
      <c r="B33" s="28" t="s">
        <v>61</v>
      </c>
      <c r="C33" s="29">
        <v>552782.29999999888</v>
      </c>
      <c r="D33" s="29"/>
      <c r="E33" s="29">
        <v>0</v>
      </c>
      <c r="F33" s="29">
        <v>0</v>
      </c>
      <c r="G33" s="29">
        <f t="shared" si="12"/>
        <v>552782.29999999888</v>
      </c>
      <c r="H33" s="79">
        <f t="shared" si="10"/>
        <v>0</v>
      </c>
    </row>
    <row r="34" spans="2:8" s="3" customFormat="1" x14ac:dyDescent="0.25">
      <c r="B34" s="76" t="s">
        <v>433</v>
      </c>
      <c r="C34" s="30">
        <f>SUM(C35:C36)</f>
        <v>9345481.6999999993</v>
      </c>
      <c r="D34" s="30">
        <f t="shared" ref="D34:F34" si="13">SUM(D35:D36)</f>
        <v>3815320.57</v>
      </c>
      <c r="E34" s="30">
        <f t="shared" si="13"/>
        <v>0</v>
      </c>
      <c r="F34" s="30">
        <f t="shared" si="13"/>
        <v>5530161.1299999999</v>
      </c>
      <c r="G34" s="30">
        <f>SUM(G35:G36)</f>
        <v>0</v>
      </c>
      <c r="H34" s="82">
        <f t="shared" si="10"/>
        <v>0.59174703964162712</v>
      </c>
    </row>
    <row r="35" spans="2:8" s="3" customFormat="1" x14ac:dyDescent="0.25">
      <c r="B35" s="28" t="s">
        <v>79</v>
      </c>
      <c r="C35" s="29">
        <v>3815320.57</v>
      </c>
      <c r="D35" s="29">
        <v>3815320.57</v>
      </c>
      <c r="E35" s="29">
        <v>0</v>
      </c>
      <c r="F35" s="29">
        <v>0</v>
      </c>
      <c r="G35" s="29">
        <f t="shared" ref="G35" si="14">+C35-D35-E35-F35</f>
        <v>0</v>
      </c>
      <c r="H35" s="81">
        <f>+F35/C35</f>
        <v>0</v>
      </c>
    </row>
    <row r="36" spans="2:8" s="3" customFormat="1" x14ac:dyDescent="0.25">
      <c r="B36" s="28" t="s">
        <v>23</v>
      </c>
      <c r="C36" s="29">
        <v>5530161.1299999999</v>
      </c>
      <c r="D36" s="29">
        <v>0</v>
      </c>
      <c r="E36" s="29">
        <v>0</v>
      </c>
      <c r="F36" s="29">
        <v>5530161.1299999999</v>
      </c>
      <c r="G36" s="29">
        <f>+C36-D36-E36-F36</f>
        <v>0</v>
      </c>
      <c r="H36" s="81">
        <f t="shared" ref="H36:H38" si="15">+F36/C36</f>
        <v>1</v>
      </c>
    </row>
    <row r="37" spans="2:8" s="416" customFormat="1" ht="18" customHeight="1" x14ac:dyDescent="0.25">
      <c r="B37" s="76" t="s">
        <v>434</v>
      </c>
      <c r="C37" s="30">
        <f>SUM(C38:C38)</f>
        <v>3063249.26</v>
      </c>
      <c r="D37" s="30">
        <f t="shared" ref="D37:G37" si="16">SUM(D38:D38)</f>
        <v>3063249.26</v>
      </c>
      <c r="E37" s="30">
        <f t="shared" si="16"/>
        <v>0</v>
      </c>
      <c r="F37" s="30">
        <f t="shared" si="16"/>
        <v>0</v>
      </c>
      <c r="G37" s="30">
        <f t="shared" si="16"/>
        <v>0</v>
      </c>
      <c r="H37" s="78">
        <f t="shared" si="15"/>
        <v>0</v>
      </c>
    </row>
    <row r="38" spans="2:8" x14ac:dyDescent="0.25">
      <c r="B38" s="28" t="s">
        <v>435</v>
      </c>
      <c r="C38" s="29">
        <v>3063249.26</v>
      </c>
      <c r="D38" s="29">
        <v>3063249.26</v>
      </c>
      <c r="E38" s="29"/>
      <c r="F38" s="29">
        <v>0</v>
      </c>
      <c r="G38" s="29">
        <f>+C38-D38-E38-F38</f>
        <v>0</v>
      </c>
      <c r="H38" s="79">
        <f t="shared" si="15"/>
        <v>0</v>
      </c>
    </row>
    <row r="39" spans="2:8" x14ac:dyDescent="0.25">
      <c r="B39" s="26" t="s">
        <v>1</v>
      </c>
      <c r="C39" s="27">
        <f>+C5+C24</f>
        <v>1837900885.3299999</v>
      </c>
      <c r="D39" s="27">
        <f>+D5+D24</f>
        <v>94469673.600000009</v>
      </c>
      <c r="E39" s="27">
        <f t="shared" ref="E39:G39" si="17">+E5+E24</f>
        <v>119291491.45</v>
      </c>
      <c r="F39" s="27">
        <f t="shared" si="17"/>
        <v>1197381135.9200001</v>
      </c>
      <c r="G39" s="27">
        <f t="shared" si="17"/>
        <v>426758584.3599999</v>
      </c>
      <c r="H39" s="83">
        <f>+F39/C39</f>
        <v>0.65149385664777415</v>
      </c>
    </row>
  </sheetData>
  <mergeCells count="1">
    <mergeCell ref="B2:H2"/>
  </mergeCells>
  <printOptions horizontalCentered="1"/>
  <pageMargins left="0.31496062992125984" right="0.31496062992125984" top="0.74803149606299213" bottom="0.74803149606299213" header="0.31496062992125984" footer="0.31496062992125984"/>
  <pageSetup paperSize="9" scale="81" fitToHeight="0" orientation="landscape" r:id="rId1"/>
  <colBreaks count="1" manualBreakCount="1">
    <brk id="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7F87B-F91E-4D60-82B5-B6B58DA28254}">
  <dimension ref="B1:Q40"/>
  <sheetViews>
    <sheetView showGridLines="0" zoomScale="90" zoomScaleNormal="90" workbookViewId="0">
      <selection activeCell="B47" sqref="B47"/>
    </sheetView>
  </sheetViews>
  <sheetFormatPr baseColWidth="10" defaultRowHeight="15" x14ac:dyDescent="0.25"/>
  <cols>
    <col min="1" max="1" width="5.7109375" style="16" customWidth="1"/>
    <col min="2" max="2" width="51.85546875" style="16" customWidth="1"/>
    <col min="3" max="3" width="20" style="16" customWidth="1"/>
    <col min="4" max="4" width="20.28515625" style="16" bestFit="1" customWidth="1"/>
    <col min="5" max="5" width="25.28515625" style="16" customWidth="1"/>
    <col min="6" max="6" width="21.28515625" style="16" customWidth="1"/>
    <col min="7" max="7" width="18" style="366" bestFit="1" customWidth="1"/>
    <col min="8" max="8" width="13.85546875" style="16" customWidth="1"/>
    <col min="9" max="9" width="15.28515625" style="16" bestFit="1" customWidth="1"/>
    <col min="10" max="10" width="14.28515625" style="16" bestFit="1" customWidth="1"/>
    <col min="11" max="12" width="11" style="16" bestFit="1" customWidth="1"/>
    <col min="13" max="13" width="13.5703125" style="16" bestFit="1" customWidth="1"/>
    <col min="14" max="15" width="16.28515625" style="16" bestFit="1" customWidth="1"/>
    <col min="16" max="16384" width="11.42578125" style="16"/>
  </cols>
  <sheetData>
    <row r="1" spans="2:12" x14ac:dyDescent="0.25">
      <c r="B1" s="470"/>
      <c r="C1" s="470"/>
      <c r="D1" s="470"/>
    </row>
    <row r="2" spans="2:12" x14ac:dyDescent="0.25">
      <c r="B2" s="470" t="s">
        <v>120</v>
      </c>
      <c r="C2" s="470"/>
      <c r="D2" s="470"/>
      <c r="F2" s="20"/>
      <c r="G2" s="423"/>
      <c r="H2" s="20"/>
    </row>
    <row r="3" spans="2:12" x14ac:dyDescent="0.25">
      <c r="B3" s="470" t="s">
        <v>561</v>
      </c>
      <c r="C3" s="470"/>
      <c r="D3" s="470"/>
      <c r="F3" s="471"/>
      <c r="G3" s="471"/>
      <c r="H3" s="20"/>
    </row>
    <row r="4" spans="2:12" x14ac:dyDescent="0.25">
      <c r="E4" s="198"/>
      <c r="F4" s="424"/>
      <c r="G4" s="425"/>
      <c r="H4" s="367"/>
    </row>
    <row r="5" spans="2:12" x14ac:dyDescent="0.25">
      <c r="B5" s="11" t="s">
        <v>121</v>
      </c>
      <c r="C5" s="11" t="s">
        <v>122</v>
      </c>
      <c r="D5" s="11" t="s">
        <v>123</v>
      </c>
      <c r="F5" s="20"/>
      <c r="G5" s="423"/>
      <c r="H5" s="20"/>
    </row>
    <row r="6" spans="2:12" s="17" customFormat="1" x14ac:dyDescent="0.25">
      <c r="B6" s="191" t="s">
        <v>124</v>
      </c>
      <c r="C6" s="192" t="s">
        <v>125</v>
      </c>
      <c r="D6" s="193">
        <v>8261010.3499999996</v>
      </c>
      <c r="E6" s="190"/>
      <c r="F6" s="426"/>
      <c r="G6" s="423"/>
      <c r="H6" s="427"/>
      <c r="I6" s="368"/>
      <c r="J6" s="368"/>
      <c r="K6" s="368"/>
      <c r="L6" s="360"/>
    </row>
    <row r="7" spans="2:12" s="17" customFormat="1" x14ac:dyDescent="0.25">
      <c r="B7" s="191" t="s">
        <v>126</v>
      </c>
      <c r="C7" s="194" t="s">
        <v>127</v>
      </c>
      <c r="D7" s="193">
        <v>124917575.78</v>
      </c>
      <c r="E7" s="190"/>
      <c r="F7" s="427"/>
      <c r="G7" s="428"/>
      <c r="H7" s="429"/>
      <c r="I7" s="369"/>
      <c r="J7" s="369"/>
      <c r="K7" s="369"/>
      <c r="L7" s="361"/>
    </row>
    <row r="8" spans="2:12" x14ac:dyDescent="0.25">
      <c r="B8" s="195" t="s">
        <v>128</v>
      </c>
      <c r="C8" s="196" t="s">
        <v>129</v>
      </c>
      <c r="D8" s="197">
        <v>641346605.98000002</v>
      </c>
      <c r="E8" s="198"/>
      <c r="F8" s="427"/>
      <c r="G8" s="428"/>
      <c r="H8" s="20"/>
    </row>
    <row r="9" spans="2:12" x14ac:dyDescent="0.25">
      <c r="B9" s="195" t="s">
        <v>130</v>
      </c>
      <c r="C9" s="196" t="s">
        <v>131</v>
      </c>
      <c r="D9" s="197">
        <v>122084841</v>
      </c>
      <c r="F9" s="430"/>
      <c r="G9" s="431"/>
      <c r="H9" s="20"/>
    </row>
    <row r="10" spans="2:12" x14ac:dyDescent="0.25">
      <c r="B10" s="195" t="s">
        <v>132</v>
      </c>
      <c r="C10" s="196" t="s">
        <v>133</v>
      </c>
      <c r="D10" s="197">
        <v>9629194.0999999996</v>
      </c>
      <c r="F10" s="20"/>
      <c r="G10" s="423"/>
      <c r="H10" s="20"/>
    </row>
    <row r="11" spans="2:12" ht="15.75" x14ac:dyDescent="0.25">
      <c r="B11" s="199" t="s">
        <v>134</v>
      </c>
      <c r="C11" s="200"/>
      <c r="D11" s="201">
        <f>SUM(D6:D10)</f>
        <v>906239227.21000004</v>
      </c>
      <c r="E11" s="209"/>
      <c r="F11" s="472"/>
      <c r="G11" s="472"/>
      <c r="H11" s="432"/>
      <c r="I11" s="209"/>
      <c r="J11" s="209"/>
      <c r="K11" s="209"/>
    </row>
    <row r="12" spans="2:12" ht="11.25" customHeight="1" x14ac:dyDescent="0.25">
      <c r="E12" s="209"/>
      <c r="F12" s="472"/>
      <c r="G12" s="472"/>
      <c r="H12" s="432"/>
      <c r="I12" s="209"/>
      <c r="J12" s="209"/>
      <c r="K12" s="209"/>
    </row>
    <row r="13" spans="2:12" x14ac:dyDescent="0.25">
      <c r="B13" s="11" t="s">
        <v>135</v>
      </c>
      <c r="C13" s="11" t="s">
        <v>136</v>
      </c>
      <c r="D13" s="202"/>
      <c r="E13" s="209"/>
      <c r="F13" s="472"/>
      <c r="G13" s="472"/>
      <c r="H13" s="432"/>
      <c r="I13" s="209"/>
      <c r="J13" s="209"/>
      <c r="K13" s="209"/>
    </row>
    <row r="14" spans="2:12" s="17" customFormat="1" x14ac:dyDescent="0.25">
      <c r="B14" s="203" t="s">
        <v>137</v>
      </c>
      <c r="C14" s="193">
        <v>2100993192</v>
      </c>
      <c r="E14" s="344"/>
      <c r="F14" s="472"/>
      <c r="G14" s="472"/>
      <c r="H14" s="433"/>
      <c r="I14" s="344"/>
      <c r="J14" s="344"/>
      <c r="K14" s="344"/>
      <c r="L14" s="360"/>
    </row>
    <row r="15" spans="2:12" x14ac:dyDescent="0.25">
      <c r="B15" s="200" t="s">
        <v>138</v>
      </c>
      <c r="C15" s="197">
        <v>1197381135.9200001</v>
      </c>
      <c r="E15" s="209"/>
      <c r="F15" s="472"/>
      <c r="G15" s="472"/>
      <c r="H15" s="432"/>
      <c r="I15" s="209"/>
      <c r="J15" s="209"/>
      <c r="K15" s="209"/>
    </row>
    <row r="16" spans="2:12" ht="15.75" x14ac:dyDescent="0.25">
      <c r="B16" s="199" t="s">
        <v>139</v>
      </c>
      <c r="C16" s="201">
        <f>+C14-C15</f>
        <v>903612056.07999992</v>
      </c>
      <c r="D16" s="198"/>
      <c r="E16" s="209"/>
      <c r="F16" s="472"/>
      <c r="G16" s="472"/>
      <c r="H16" s="432"/>
      <c r="I16" s="209"/>
      <c r="J16" s="209"/>
      <c r="K16" s="209"/>
    </row>
    <row r="17" spans="2:17" ht="11.25" customHeight="1" x14ac:dyDescent="0.25">
      <c r="E17" s="209"/>
      <c r="F17" s="432"/>
      <c r="G17" s="423"/>
      <c r="H17" s="432"/>
      <c r="I17" s="209"/>
      <c r="J17" s="209"/>
      <c r="K17" s="209"/>
    </row>
    <row r="18" spans="2:17" ht="15.75" x14ac:dyDescent="0.25">
      <c r="B18" s="204" t="s">
        <v>140</v>
      </c>
      <c r="C18" s="205"/>
      <c r="D18" s="206">
        <f>+D11-C16</f>
        <v>2627171.1300001144</v>
      </c>
      <c r="E18" s="209"/>
      <c r="F18" s="432"/>
      <c r="G18" s="423"/>
      <c r="H18" s="432"/>
      <c r="I18" s="209"/>
      <c r="J18" s="209"/>
      <c r="K18" s="209"/>
    </row>
    <row r="19" spans="2:17" ht="7.5" customHeight="1" x14ac:dyDescent="0.25">
      <c r="C19" s="202"/>
      <c r="E19" s="207"/>
      <c r="F19" s="370"/>
      <c r="G19" s="371"/>
    </row>
    <row r="20" spans="2:17" x14ac:dyDescent="0.25">
      <c r="B20" s="208" t="s">
        <v>141</v>
      </c>
      <c r="C20" s="209"/>
      <c r="D20" s="209"/>
      <c r="G20" s="372"/>
      <c r="H20" s="4"/>
      <c r="I20" s="4"/>
      <c r="J20" s="4"/>
      <c r="K20" s="4"/>
      <c r="L20" s="4"/>
      <c r="M20" s="4"/>
      <c r="N20" s="4"/>
      <c r="O20" s="4"/>
      <c r="P20" s="4"/>
      <c r="Q20" s="4"/>
    </row>
    <row r="21" spans="2:17" x14ac:dyDescent="0.25">
      <c r="B21" s="345" t="s">
        <v>506</v>
      </c>
      <c r="C21" s="346">
        <f>2465573+52228</f>
        <v>2517801</v>
      </c>
      <c r="D21" s="211"/>
      <c r="E21" s="223"/>
      <c r="F21" s="2"/>
      <c r="G21" s="473"/>
      <c r="H21" s="473"/>
      <c r="I21" s="473"/>
      <c r="J21" s="473"/>
      <c r="K21" s="473"/>
      <c r="L21" s="473"/>
      <c r="M21" s="473"/>
      <c r="N21" s="473"/>
      <c r="O21" s="4"/>
      <c r="P21" s="4"/>
      <c r="Q21" s="4"/>
    </row>
    <row r="22" spans="2:17" x14ac:dyDescent="0.25">
      <c r="B22" s="345" t="s">
        <v>507</v>
      </c>
      <c r="C22" s="346">
        <v>85817</v>
      </c>
      <c r="D22" s="212"/>
      <c r="E22" s="223"/>
      <c r="F22" s="198"/>
      <c r="G22" s="372"/>
      <c r="H22" s="4"/>
      <c r="I22" s="4"/>
      <c r="J22" s="4"/>
      <c r="K22" s="4"/>
      <c r="L22" s="4"/>
      <c r="M22" s="4"/>
      <c r="N22" s="4"/>
      <c r="O22" s="4"/>
      <c r="P22" s="4"/>
      <c r="Q22" s="4"/>
    </row>
    <row r="23" spans="2:17" x14ac:dyDescent="0.25">
      <c r="B23" s="345" t="s">
        <v>562</v>
      </c>
      <c r="C23" s="346">
        <f>2894388+2104251+531635</f>
        <v>5530274</v>
      </c>
      <c r="D23" s="212"/>
      <c r="E23" s="223"/>
      <c r="F23" s="198"/>
      <c r="G23" s="372"/>
      <c r="H23" s="4"/>
      <c r="J23" s="213"/>
      <c r="K23" s="213"/>
      <c r="L23" s="213"/>
      <c r="M23" s="213"/>
      <c r="N23" s="213"/>
      <c r="O23" s="4"/>
      <c r="P23" s="4"/>
      <c r="Q23" s="4"/>
    </row>
    <row r="24" spans="2:17" x14ac:dyDescent="0.25">
      <c r="B24" s="345" t="s">
        <v>508</v>
      </c>
      <c r="C24" s="346">
        <v>-6421230</v>
      </c>
      <c r="D24" s="212"/>
      <c r="E24" s="223"/>
      <c r="G24" s="372"/>
      <c r="H24" s="4"/>
      <c r="J24" s="213"/>
      <c r="K24" s="213"/>
      <c r="L24" s="213"/>
      <c r="M24" s="213"/>
      <c r="N24" s="213"/>
      <c r="O24" s="4"/>
      <c r="P24" s="4"/>
      <c r="Q24" s="4"/>
    </row>
    <row r="25" spans="2:17" x14ac:dyDescent="0.25">
      <c r="B25" s="345" t="s">
        <v>563</v>
      </c>
      <c r="C25" s="346">
        <f>-16129-1634.38</f>
        <v>-17763.38</v>
      </c>
      <c r="D25" s="212"/>
      <c r="E25" s="223"/>
      <c r="G25" s="372"/>
      <c r="H25" s="4"/>
      <c r="J25" s="213"/>
      <c r="K25" s="213"/>
      <c r="L25" s="213"/>
      <c r="M25" s="213"/>
      <c r="N25" s="213"/>
      <c r="O25" s="4"/>
      <c r="P25" s="4"/>
      <c r="Q25" s="4"/>
    </row>
    <row r="26" spans="2:17" x14ac:dyDescent="0.25">
      <c r="B26" s="345" t="s">
        <v>573</v>
      </c>
      <c r="C26" s="346">
        <v>-45289</v>
      </c>
      <c r="E26" s="223"/>
      <c r="F26" s="212"/>
      <c r="G26" s="372"/>
      <c r="H26" s="4"/>
      <c r="J26" s="213"/>
      <c r="K26" s="213"/>
      <c r="L26" s="213"/>
      <c r="M26" s="213"/>
      <c r="N26" s="213"/>
      <c r="O26" s="4"/>
      <c r="P26" s="4"/>
      <c r="Q26" s="4"/>
    </row>
    <row r="27" spans="2:17" x14ac:dyDescent="0.25">
      <c r="B27" s="347" t="s">
        <v>509</v>
      </c>
      <c r="C27" s="373">
        <v>32.619999999999997</v>
      </c>
      <c r="D27" s="348"/>
      <c r="E27" s="348"/>
      <c r="F27" s="348"/>
      <c r="G27" s="372"/>
      <c r="H27" s="212"/>
      <c r="I27" s="212"/>
      <c r="J27" s="214"/>
      <c r="K27" s="4"/>
      <c r="L27" s="4"/>
      <c r="M27" s="4"/>
      <c r="N27" s="4"/>
      <c r="O27" s="4"/>
      <c r="P27" s="4"/>
      <c r="Q27" s="4"/>
    </row>
    <row r="28" spans="2:17" ht="30" x14ac:dyDescent="0.25">
      <c r="B28" s="349" t="s">
        <v>510</v>
      </c>
      <c r="C28" s="374">
        <v>-3.26</v>
      </c>
      <c r="D28" s="375"/>
      <c r="E28" s="348"/>
      <c r="F28" s="348"/>
      <c r="G28" s="372"/>
      <c r="H28" s="212"/>
      <c r="I28" s="212"/>
      <c r="J28" s="214"/>
      <c r="K28" s="4"/>
      <c r="L28" s="4"/>
      <c r="M28" s="4"/>
      <c r="N28" s="4"/>
      <c r="O28" s="4"/>
      <c r="P28" s="4"/>
      <c r="Q28" s="4"/>
    </row>
    <row r="29" spans="2:17" x14ac:dyDescent="0.25">
      <c r="B29" s="215" t="s">
        <v>142</v>
      </c>
      <c r="C29" s="216">
        <f>SUM(C21:C28)</f>
        <v>1649638.9800000002</v>
      </c>
      <c r="D29" s="190"/>
      <c r="E29" s="376"/>
      <c r="F29" s="377"/>
      <c r="G29" s="469"/>
      <c r="H29" s="469"/>
      <c r="I29" s="469"/>
      <c r="J29" s="469"/>
      <c r="K29" s="469"/>
      <c r="L29" s="469"/>
      <c r="M29" s="214"/>
      <c r="N29" s="214"/>
      <c r="O29" s="4"/>
      <c r="P29" s="4"/>
      <c r="Q29" s="4"/>
    </row>
    <row r="30" spans="2:17" x14ac:dyDescent="0.25">
      <c r="B30" s="217" t="s">
        <v>143</v>
      </c>
      <c r="C30" s="218">
        <f>+D18-C29</f>
        <v>977532.15000011423</v>
      </c>
      <c r="D30" s="212"/>
      <c r="E30" s="223"/>
      <c r="F30" s="378"/>
      <c r="G30" s="372"/>
      <c r="H30" s="4"/>
      <c r="I30" s="4"/>
      <c r="J30" s="214"/>
      <c r="K30" s="4"/>
      <c r="L30" s="4"/>
      <c r="M30" s="4"/>
      <c r="N30" s="214"/>
      <c r="O30" s="4"/>
      <c r="P30" s="4"/>
      <c r="Q30" s="4"/>
    </row>
    <row r="31" spans="2:17" x14ac:dyDescent="0.25">
      <c r="B31" s="350" t="s">
        <v>144</v>
      </c>
      <c r="C31" s="351">
        <v>477417.85</v>
      </c>
      <c r="E31" s="207"/>
      <c r="F31" s="370"/>
      <c r="G31" s="372"/>
      <c r="H31" s="212"/>
      <c r="I31" s="212"/>
      <c r="J31" s="214"/>
      <c r="K31" s="4"/>
      <c r="L31" s="4"/>
      <c r="M31" s="4"/>
      <c r="N31" s="4"/>
      <c r="O31" s="4"/>
      <c r="P31" s="4"/>
      <c r="Q31" s="4"/>
    </row>
    <row r="32" spans="2:17" x14ac:dyDescent="0.25">
      <c r="B32" s="352" t="s">
        <v>145</v>
      </c>
      <c r="C32" s="353">
        <f>+C30-C31</f>
        <v>500114.30000011425</v>
      </c>
      <c r="E32" s="207"/>
      <c r="F32" s="370"/>
      <c r="G32" s="372"/>
      <c r="H32" s="212"/>
      <c r="I32" s="212"/>
      <c r="J32" s="214"/>
      <c r="K32" s="4"/>
      <c r="L32" s="4"/>
      <c r="M32" s="4"/>
      <c r="N32" s="4"/>
      <c r="O32" s="4"/>
      <c r="P32" s="4"/>
      <c r="Q32" s="4"/>
    </row>
    <row r="33" spans="2:17" x14ac:dyDescent="0.25">
      <c r="B33" s="350" t="s">
        <v>511</v>
      </c>
      <c r="C33" s="202">
        <v>500000</v>
      </c>
      <c r="D33" s="198"/>
      <c r="E33" s="422"/>
      <c r="F33" s="370"/>
      <c r="G33" s="372"/>
      <c r="H33" s="212"/>
      <c r="I33" s="212"/>
      <c r="J33" s="214"/>
      <c r="K33" s="4"/>
      <c r="L33" s="4"/>
      <c r="M33" s="4"/>
      <c r="N33" s="4"/>
      <c r="O33" s="4"/>
      <c r="P33" s="4"/>
      <c r="Q33" s="4"/>
    </row>
    <row r="34" spans="2:17" x14ac:dyDescent="0.25">
      <c r="B34" s="350" t="s">
        <v>512</v>
      </c>
      <c r="C34" s="202">
        <v>108.98</v>
      </c>
      <c r="D34" s="198"/>
      <c r="E34" s="207"/>
      <c r="F34" s="370"/>
      <c r="G34" s="372"/>
      <c r="H34" s="212"/>
      <c r="I34" s="212"/>
      <c r="J34" s="214"/>
      <c r="K34" s="4"/>
      <c r="L34" s="4"/>
      <c r="M34" s="4"/>
      <c r="N34" s="4"/>
      <c r="O34" s="4"/>
      <c r="P34" s="4"/>
      <c r="Q34" s="4"/>
    </row>
    <row r="35" spans="2:17" s="4" customFormat="1" x14ac:dyDescent="0.25">
      <c r="B35" s="227" t="s">
        <v>146</v>
      </c>
      <c r="C35" s="228">
        <f>+C32-C33-C34</f>
        <v>5.3200001142499929</v>
      </c>
      <c r="D35" s="370"/>
      <c r="G35" s="372"/>
    </row>
    <row r="36" spans="2:17" s="4" customFormat="1" x14ac:dyDescent="0.25">
      <c r="B36" s="354"/>
      <c r="C36" s="219"/>
      <c r="D36" s="220"/>
      <c r="G36" s="372"/>
    </row>
    <row r="37" spans="2:17" s="4" customFormat="1" x14ac:dyDescent="0.25">
      <c r="B37" s="221"/>
      <c r="C37" s="222"/>
      <c r="D37" s="221"/>
      <c r="G37" s="372"/>
    </row>
    <row r="38" spans="2:17" x14ac:dyDescent="0.25">
      <c r="B38" s="17"/>
      <c r="C38" s="210"/>
    </row>
    <row r="39" spans="2:17" x14ac:dyDescent="0.25">
      <c r="C39" s="210"/>
    </row>
    <row r="40" spans="2:17" x14ac:dyDescent="0.25">
      <c r="B40" s="17"/>
      <c r="C40" s="210"/>
    </row>
  </sheetData>
  <mergeCells count="7">
    <mergeCell ref="G29:L29"/>
    <mergeCell ref="B1:D1"/>
    <mergeCell ref="B2:D2"/>
    <mergeCell ref="B3:D3"/>
    <mergeCell ref="F3:G3"/>
    <mergeCell ref="F11:G16"/>
    <mergeCell ref="G21:N2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39"/>
  <sheetViews>
    <sheetView showGridLines="0" workbookViewId="0">
      <selection activeCell="D50" sqref="D50"/>
    </sheetView>
  </sheetViews>
  <sheetFormatPr baseColWidth="10" defaultColWidth="11.42578125" defaultRowHeight="12.75" x14ac:dyDescent="0.2"/>
  <cols>
    <col min="1" max="1" width="9.7109375" style="93" customWidth="1"/>
    <col min="2" max="2" width="44.7109375" style="93" customWidth="1"/>
    <col min="3" max="3" width="31.7109375" style="93" customWidth="1"/>
    <col min="4" max="4" width="22.140625" style="94" bestFit="1" customWidth="1"/>
    <col min="5" max="5" width="58.85546875" style="93" customWidth="1"/>
    <col min="6" max="6" width="16.85546875" style="93" bestFit="1" customWidth="1"/>
    <col min="7" max="7" width="18.5703125" style="94" bestFit="1" customWidth="1"/>
    <col min="8" max="8" width="14.140625" style="95" bestFit="1" customWidth="1"/>
    <col min="9" max="9" width="15.5703125" style="95" bestFit="1" customWidth="1"/>
    <col min="10" max="16384" width="11.42578125" style="93"/>
  </cols>
  <sheetData>
    <row r="1" spans="1:11" x14ac:dyDescent="0.2">
      <c r="C1" s="474"/>
      <c r="D1" s="474"/>
    </row>
    <row r="2" spans="1:11" hidden="1" x14ac:dyDescent="0.2">
      <c r="B2" s="474" t="s">
        <v>92</v>
      </c>
      <c r="C2" s="474"/>
      <c r="D2" s="474"/>
      <c r="E2" s="474"/>
    </row>
    <row r="3" spans="1:11" hidden="1" x14ac:dyDescent="0.2">
      <c r="B3" s="474" t="s">
        <v>119</v>
      </c>
      <c r="C3" s="474"/>
      <c r="D3" s="474"/>
      <c r="E3" s="474"/>
    </row>
    <row r="4" spans="1:11" hidden="1" x14ac:dyDescent="0.2">
      <c r="C4" s="474"/>
      <c r="D4" s="474"/>
    </row>
    <row r="5" spans="1:11" ht="24.75" hidden="1" customHeight="1" x14ac:dyDescent="0.2">
      <c r="B5" s="96" t="s">
        <v>93</v>
      </c>
      <c r="C5" s="96" t="s">
        <v>94</v>
      </c>
      <c r="D5" s="97" t="s">
        <v>95</v>
      </c>
      <c r="E5" s="98" t="s">
        <v>96</v>
      </c>
    </row>
    <row r="6" spans="1:11" s="105" customFormat="1" ht="36" hidden="1" customHeight="1" x14ac:dyDescent="0.25">
      <c r="B6" s="99" t="s">
        <v>116</v>
      </c>
      <c r="C6" s="99" t="s">
        <v>117</v>
      </c>
      <c r="D6" s="101">
        <v>165908.29999999999</v>
      </c>
      <c r="E6" s="99" t="s">
        <v>118</v>
      </c>
      <c r="G6" s="103"/>
      <c r="H6" s="104"/>
      <c r="I6" s="102"/>
    </row>
    <row r="7" spans="1:11" s="105" customFormat="1" ht="27.75" hidden="1" customHeight="1" x14ac:dyDescent="0.25">
      <c r="B7" s="476" t="s">
        <v>56</v>
      </c>
      <c r="C7" s="100" t="s">
        <v>113</v>
      </c>
      <c r="D7" s="101">
        <v>131694637</v>
      </c>
      <c r="E7" s="476" t="s">
        <v>97</v>
      </c>
      <c r="F7" s="102"/>
      <c r="G7" s="103"/>
      <c r="H7" s="104"/>
      <c r="I7" s="102"/>
    </row>
    <row r="8" spans="1:11" s="105" customFormat="1" ht="21" hidden="1" customHeight="1" x14ac:dyDescent="0.25">
      <c r="B8" s="477"/>
      <c r="C8" s="100" t="s">
        <v>114</v>
      </c>
      <c r="D8" s="101">
        <v>129465000</v>
      </c>
      <c r="E8" s="477"/>
      <c r="F8" s="102"/>
      <c r="G8" s="103"/>
      <c r="H8" s="104"/>
      <c r="I8" s="102"/>
    </row>
    <row r="9" spans="1:11" s="105" customFormat="1" ht="29.25" hidden="1" customHeight="1" x14ac:dyDescent="0.25">
      <c r="B9" s="99" t="s">
        <v>53</v>
      </c>
      <c r="C9" s="99" t="s">
        <v>54</v>
      </c>
      <c r="D9" s="101">
        <v>24484314.280000001</v>
      </c>
      <c r="E9" s="99" t="s">
        <v>57</v>
      </c>
      <c r="G9" s="103"/>
      <c r="H9" s="104"/>
      <c r="I9" s="102"/>
    </row>
    <row r="10" spans="1:11" s="105" customFormat="1" ht="24.75" hidden="1" customHeight="1" x14ac:dyDescent="0.2">
      <c r="B10" s="99" t="s">
        <v>55</v>
      </c>
      <c r="C10" s="99" t="s">
        <v>115</v>
      </c>
      <c r="D10" s="106">
        <v>250926.77</v>
      </c>
      <c r="E10" s="99" t="s">
        <v>98</v>
      </c>
      <c r="G10" s="103"/>
      <c r="H10" s="104"/>
      <c r="I10" s="102"/>
    </row>
    <row r="11" spans="1:11" s="105" customFormat="1" hidden="1" x14ac:dyDescent="0.2">
      <c r="B11" s="99"/>
      <c r="C11" s="107" t="s">
        <v>6</v>
      </c>
      <c r="D11" s="108">
        <f>SUM(D6:D10)</f>
        <v>286060786.35000002</v>
      </c>
      <c r="E11" s="99"/>
      <c r="G11" s="103"/>
      <c r="H11" s="104"/>
      <c r="I11" s="102"/>
    </row>
    <row r="12" spans="1:11" s="95" customFormat="1" hidden="1" x14ac:dyDescent="0.2">
      <c r="A12" s="93"/>
      <c r="B12" s="93"/>
      <c r="C12" s="475"/>
      <c r="D12" s="475"/>
      <c r="E12" s="93"/>
      <c r="F12" s="93"/>
      <c r="G12" s="94"/>
      <c r="H12" s="109"/>
      <c r="J12" s="93"/>
      <c r="K12" s="93"/>
    </row>
    <row r="13" spans="1:11" s="95" customFormat="1" hidden="1" x14ac:dyDescent="0.2">
      <c r="A13" s="93"/>
      <c r="B13" s="93"/>
      <c r="C13" s="93"/>
      <c r="D13" s="94"/>
      <c r="E13" s="93"/>
      <c r="F13" s="93"/>
      <c r="G13" s="94"/>
      <c r="H13" s="109"/>
      <c r="J13" s="93"/>
      <c r="K13" s="93"/>
    </row>
    <row r="14" spans="1:11" s="95" customFormat="1" hidden="1" x14ac:dyDescent="0.2">
      <c r="A14" s="93"/>
      <c r="B14" s="474" t="s">
        <v>92</v>
      </c>
      <c r="C14" s="474"/>
      <c r="D14" s="474"/>
      <c r="E14" s="474"/>
      <c r="F14" s="93"/>
      <c r="G14" s="94"/>
      <c r="H14" s="109"/>
      <c r="J14" s="93"/>
      <c r="K14" s="93"/>
    </row>
    <row r="15" spans="1:11" hidden="1" x14ac:dyDescent="0.2">
      <c r="B15" s="474" t="s">
        <v>513</v>
      </c>
      <c r="C15" s="474"/>
      <c r="D15" s="474"/>
      <c r="E15" s="474"/>
    </row>
    <row r="16" spans="1:11" hidden="1" x14ac:dyDescent="0.2"/>
    <row r="17" spans="2:9" ht="24.75" hidden="1" customHeight="1" x14ac:dyDescent="0.2">
      <c r="B17" s="96" t="s">
        <v>93</v>
      </c>
      <c r="C17" s="96" t="s">
        <v>94</v>
      </c>
      <c r="D17" s="97" t="s">
        <v>95</v>
      </c>
      <c r="E17" s="98" t="s">
        <v>96</v>
      </c>
    </row>
    <row r="18" spans="2:9" s="105" customFormat="1" ht="54.75" hidden="1" customHeight="1" x14ac:dyDescent="0.25">
      <c r="B18" s="99" t="s">
        <v>518</v>
      </c>
      <c r="C18" s="99" t="s">
        <v>515</v>
      </c>
      <c r="D18" s="101">
        <v>5530161.1299999999</v>
      </c>
      <c r="E18" s="99" t="s">
        <v>520</v>
      </c>
      <c r="G18" s="103"/>
      <c r="H18" s="104"/>
      <c r="I18" s="102"/>
    </row>
    <row r="19" spans="2:9" s="105" customFormat="1" ht="27.75" hidden="1" customHeight="1" x14ac:dyDescent="0.25">
      <c r="B19" s="476" t="s">
        <v>56</v>
      </c>
      <c r="C19" s="100" t="s">
        <v>113</v>
      </c>
      <c r="D19" s="101">
        <v>2052140</v>
      </c>
      <c r="E19" s="476" t="s">
        <v>519</v>
      </c>
      <c r="F19" s="102"/>
      <c r="G19" s="103"/>
      <c r="H19" s="104"/>
      <c r="I19" s="102"/>
    </row>
    <row r="20" spans="2:9" s="105" customFormat="1" ht="27.75" hidden="1" customHeight="1" x14ac:dyDescent="0.25">
      <c r="B20" s="478"/>
      <c r="C20" s="100" t="s">
        <v>114</v>
      </c>
      <c r="D20" s="101">
        <v>12823724</v>
      </c>
      <c r="E20" s="477"/>
      <c r="F20" s="102"/>
      <c r="G20" s="103"/>
      <c r="H20" s="104"/>
      <c r="I20" s="102"/>
    </row>
    <row r="21" spans="2:9" s="105" customFormat="1" ht="27.75" hidden="1" customHeight="1" x14ac:dyDescent="0.25">
      <c r="B21" s="478"/>
      <c r="C21" s="100" t="s">
        <v>517</v>
      </c>
      <c r="D21" s="101">
        <v>6220871</v>
      </c>
      <c r="E21" s="355" t="s">
        <v>522</v>
      </c>
      <c r="F21" s="102"/>
      <c r="G21" s="103"/>
      <c r="H21" s="104"/>
      <c r="I21" s="102"/>
    </row>
    <row r="22" spans="2:9" s="105" customFormat="1" ht="29.25" hidden="1" customHeight="1" x14ac:dyDescent="0.25">
      <c r="B22" s="99" t="s">
        <v>53</v>
      </c>
      <c r="C22" s="99" t="s">
        <v>54</v>
      </c>
      <c r="D22" s="101">
        <f>8161438.1+8161438.1+8161438.1</f>
        <v>24484314.299999997</v>
      </c>
      <c r="E22" s="99" t="s">
        <v>57</v>
      </c>
      <c r="G22" s="103"/>
      <c r="H22" s="104"/>
      <c r="I22" s="102"/>
    </row>
    <row r="23" spans="2:9" s="105" customFormat="1" ht="24.75" hidden="1" customHeight="1" x14ac:dyDescent="0.25">
      <c r="B23" s="99" t="s">
        <v>55</v>
      </c>
      <c r="C23" s="99" t="s">
        <v>115</v>
      </c>
      <c r="D23" s="101">
        <f>616258.12+1443656.33+515370.26+71979+163152.4</f>
        <v>2810416.11</v>
      </c>
      <c r="E23" s="99" t="s">
        <v>98</v>
      </c>
      <c r="G23" s="103"/>
      <c r="H23" s="104"/>
      <c r="I23" s="102"/>
    </row>
    <row r="24" spans="2:9" s="105" customFormat="1" ht="28.5" hidden="1" customHeight="1" x14ac:dyDescent="0.2">
      <c r="B24" s="99" t="s">
        <v>516</v>
      </c>
      <c r="C24" s="99" t="s">
        <v>472</v>
      </c>
      <c r="D24" s="106">
        <v>22977467</v>
      </c>
      <c r="E24" s="99" t="s">
        <v>97</v>
      </c>
      <c r="G24" s="103"/>
      <c r="H24" s="104"/>
      <c r="I24" s="102"/>
    </row>
    <row r="25" spans="2:9" s="105" customFormat="1" ht="24.75" hidden="1" customHeight="1" x14ac:dyDescent="0.25">
      <c r="B25" s="99" t="s">
        <v>514</v>
      </c>
      <c r="C25" s="99" t="s">
        <v>515</v>
      </c>
      <c r="D25" s="101">
        <v>9800000</v>
      </c>
      <c r="E25" s="99" t="s">
        <v>521</v>
      </c>
      <c r="G25" s="103"/>
      <c r="H25" s="104"/>
      <c r="I25" s="102"/>
    </row>
    <row r="26" spans="2:9" s="105" customFormat="1" hidden="1" x14ac:dyDescent="0.2">
      <c r="B26" s="99"/>
      <c r="C26" s="107" t="s">
        <v>6</v>
      </c>
      <c r="D26" s="108">
        <f>SUM(D18:D25)</f>
        <v>86699093.539999992</v>
      </c>
      <c r="E26" s="99"/>
      <c r="G26" s="103"/>
      <c r="H26" s="104"/>
      <c r="I26" s="102"/>
    </row>
    <row r="29" spans="2:9" x14ac:dyDescent="0.2">
      <c r="B29" s="474" t="s">
        <v>92</v>
      </c>
      <c r="C29" s="474"/>
      <c r="D29" s="474"/>
      <c r="E29" s="474"/>
    </row>
    <row r="30" spans="2:9" x14ac:dyDescent="0.2">
      <c r="B30" s="474" t="s">
        <v>551</v>
      </c>
      <c r="C30" s="474"/>
      <c r="D30" s="474"/>
      <c r="E30" s="474"/>
    </row>
    <row r="32" spans="2:9" x14ac:dyDescent="0.2">
      <c r="B32" s="96" t="s">
        <v>93</v>
      </c>
      <c r="C32" s="96" t="s">
        <v>94</v>
      </c>
      <c r="D32" s="97" t="s">
        <v>95</v>
      </c>
      <c r="E32" s="98" t="s">
        <v>96</v>
      </c>
    </row>
    <row r="33" spans="2:5" x14ac:dyDescent="0.2">
      <c r="B33" s="476" t="s">
        <v>56</v>
      </c>
      <c r="C33" s="100" t="s">
        <v>113</v>
      </c>
      <c r="D33" s="101">
        <v>4964052</v>
      </c>
      <c r="E33" s="476" t="s">
        <v>522</v>
      </c>
    </row>
    <row r="34" spans="2:5" x14ac:dyDescent="0.2">
      <c r="B34" s="478"/>
      <c r="C34" s="100" t="s">
        <v>114</v>
      </c>
      <c r="D34" s="101">
        <f>14020254+3783934</f>
        <v>17804188</v>
      </c>
      <c r="E34" s="477"/>
    </row>
    <row r="35" spans="2:5" ht="25.5" x14ac:dyDescent="0.2">
      <c r="B35" s="99" t="s">
        <v>53</v>
      </c>
      <c r="C35" s="99" t="s">
        <v>54</v>
      </c>
      <c r="D35" s="101">
        <v>24484314.300000001</v>
      </c>
      <c r="E35" s="99" t="s">
        <v>57</v>
      </c>
    </row>
    <row r="36" spans="2:5" x14ac:dyDescent="0.2">
      <c r="B36" s="99" t="s">
        <v>55</v>
      </c>
      <c r="C36" s="99" t="s">
        <v>115</v>
      </c>
      <c r="D36" s="101">
        <v>1604978.64</v>
      </c>
      <c r="E36" s="99" t="s">
        <v>98</v>
      </c>
    </row>
    <row r="37" spans="2:5" ht="25.5" x14ac:dyDescent="0.2">
      <c r="B37" s="99" t="s">
        <v>516</v>
      </c>
      <c r="C37" s="99" t="s">
        <v>472</v>
      </c>
      <c r="D37" s="101">
        <v>9817025</v>
      </c>
      <c r="E37" s="99" t="s">
        <v>97</v>
      </c>
    </row>
    <row r="38" spans="2:5" ht="25.5" x14ac:dyDescent="0.2">
      <c r="B38" s="99" t="s">
        <v>514</v>
      </c>
      <c r="C38" s="99" t="s">
        <v>552</v>
      </c>
      <c r="D38" s="101">
        <f>186708+1068</f>
        <v>187776</v>
      </c>
      <c r="E38" s="99" t="s">
        <v>572</v>
      </c>
    </row>
    <row r="39" spans="2:5" x14ac:dyDescent="0.2">
      <c r="B39" s="99"/>
      <c r="C39" s="107" t="s">
        <v>6</v>
      </c>
      <c r="D39" s="108">
        <f>SUM(D33:D38)</f>
        <v>58862333.939999998</v>
      </c>
      <c r="E39" s="99"/>
    </row>
  </sheetData>
  <mergeCells count="15">
    <mergeCell ref="B29:E29"/>
    <mergeCell ref="B30:E30"/>
    <mergeCell ref="B33:B34"/>
    <mergeCell ref="E33:E34"/>
    <mergeCell ref="B14:E14"/>
    <mergeCell ref="B15:E15"/>
    <mergeCell ref="B19:B21"/>
    <mergeCell ref="E19:E20"/>
    <mergeCell ref="C1:D1"/>
    <mergeCell ref="C4:D4"/>
    <mergeCell ref="C12:D12"/>
    <mergeCell ref="B7:B8"/>
    <mergeCell ref="E7:E8"/>
    <mergeCell ref="B2:E2"/>
    <mergeCell ref="B3:E3"/>
  </mergeCells>
  <printOptions horizontalCentered="1"/>
  <pageMargins left="0.11811023622047245" right="0.11811023622047245" top="0.94488188976377963" bottom="0.74803149606299213" header="0.31496062992125984" footer="0.31496062992125984"/>
  <pageSetup paperSize="9" scale="87"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8990C-F4FD-4F18-BB21-03F35B44F49D}">
  <dimension ref="B2:AB230"/>
  <sheetViews>
    <sheetView showGridLines="0" topLeftCell="O9" zoomScaleNormal="100" workbookViewId="0">
      <selection activeCell="Q13" sqref="Q13"/>
    </sheetView>
  </sheetViews>
  <sheetFormatPr baseColWidth="10" defaultRowHeight="13.5" x14ac:dyDescent="0.25"/>
  <cols>
    <col min="1" max="1" width="6.140625" style="238" customWidth="1"/>
    <col min="2" max="2" width="18.7109375" style="243" customWidth="1"/>
    <col min="3" max="3" width="18.7109375" style="244" customWidth="1"/>
    <col min="4" max="4" width="25.28515625" style="244" customWidth="1"/>
    <col min="5" max="14" width="21.42578125" style="245" hidden="1" customWidth="1"/>
    <col min="15" max="15" width="20.85546875" style="245" customWidth="1"/>
    <col min="16" max="19" width="21.42578125" style="245" customWidth="1"/>
    <col min="20" max="20" width="39.28515625" style="246" customWidth="1"/>
    <col min="21" max="21" width="22.7109375" style="246" customWidth="1"/>
    <col min="22" max="22" width="17" style="246" hidden="1" customWidth="1"/>
    <col min="23" max="23" width="15.140625" style="236" customWidth="1"/>
    <col min="24" max="24" width="25.5703125" style="237" customWidth="1"/>
    <col min="25" max="25" width="16.5703125" style="238" customWidth="1"/>
    <col min="26" max="26" width="32.140625" style="238" customWidth="1"/>
    <col min="27" max="27" width="73" style="245" customWidth="1"/>
    <col min="28" max="28" width="40.28515625" style="245" customWidth="1"/>
    <col min="29" max="16384" width="11.42578125" style="238"/>
  </cols>
  <sheetData>
    <row r="2" spans="2:28" ht="13.5" customHeight="1" x14ac:dyDescent="0.25">
      <c r="B2" s="434"/>
      <c r="C2" s="437" t="s">
        <v>161</v>
      </c>
      <c r="D2" s="438"/>
      <c r="E2" s="438"/>
      <c r="F2" s="438"/>
      <c r="G2" s="438"/>
      <c r="H2" s="438"/>
      <c r="I2" s="438"/>
      <c r="J2" s="438"/>
      <c r="K2" s="438"/>
      <c r="L2" s="438"/>
      <c r="M2" s="438"/>
      <c r="N2" s="438"/>
      <c r="O2" s="438"/>
      <c r="P2" s="438"/>
      <c r="Q2" s="438"/>
      <c r="R2" s="438"/>
      <c r="S2" s="438"/>
      <c r="T2" s="439"/>
      <c r="U2" s="235"/>
      <c r="V2" s="235"/>
      <c r="AA2" s="238"/>
      <c r="AB2" s="235"/>
    </row>
    <row r="3" spans="2:28" ht="13.5" customHeight="1" x14ac:dyDescent="0.25">
      <c r="B3" s="435"/>
      <c r="C3" s="440"/>
      <c r="D3" s="441"/>
      <c r="E3" s="441"/>
      <c r="F3" s="441"/>
      <c r="G3" s="441"/>
      <c r="H3" s="441"/>
      <c r="I3" s="441"/>
      <c r="J3" s="441"/>
      <c r="K3" s="441"/>
      <c r="L3" s="441"/>
      <c r="M3" s="441"/>
      <c r="N3" s="441"/>
      <c r="O3" s="441"/>
      <c r="P3" s="441"/>
      <c r="Q3" s="441"/>
      <c r="R3" s="441"/>
      <c r="S3" s="441"/>
      <c r="T3" s="442"/>
      <c r="U3" s="235"/>
      <c r="V3" s="235"/>
      <c r="AA3" s="238"/>
      <c r="AB3" s="235"/>
    </row>
    <row r="4" spans="2:28" ht="13.5" customHeight="1" x14ac:dyDescent="0.25">
      <c r="B4" s="435"/>
      <c r="C4" s="440"/>
      <c r="D4" s="441"/>
      <c r="E4" s="441"/>
      <c r="F4" s="441"/>
      <c r="G4" s="441"/>
      <c r="H4" s="441"/>
      <c r="I4" s="441"/>
      <c r="J4" s="441"/>
      <c r="K4" s="441"/>
      <c r="L4" s="441"/>
      <c r="M4" s="441"/>
      <c r="N4" s="441"/>
      <c r="O4" s="441"/>
      <c r="P4" s="441"/>
      <c r="Q4" s="441"/>
      <c r="R4" s="441"/>
      <c r="S4" s="441"/>
      <c r="T4" s="442"/>
      <c r="U4" s="235"/>
      <c r="V4" s="235"/>
      <c r="AA4" s="238"/>
      <c r="AB4" s="235"/>
    </row>
    <row r="5" spans="2:28" ht="13.5" customHeight="1" x14ac:dyDescent="0.25">
      <c r="B5" s="435"/>
      <c r="C5" s="440"/>
      <c r="D5" s="441"/>
      <c r="E5" s="441"/>
      <c r="F5" s="441"/>
      <c r="G5" s="441"/>
      <c r="H5" s="441"/>
      <c r="I5" s="441"/>
      <c r="J5" s="441"/>
      <c r="K5" s="441"/>
      <c r="L5" s="441"/>
      <c r="M5" s="441"/>
      <c r="N5" s="441"/>
      <c r="O5" s="441"/>
      <c r="P5" s="441"/>
      <c r="Q5" s="441"/>
      <c r="R5" s="441"/>
      <c r="S5" s="441"/>
      <c r="T5" s="442"/>
      <c r="U5" s="235"/>
      <c r="V5" s="235"/>
      <c r="AA5" s="238"/>
      <c r="AB5" s="235"/>
    </row>
    <row r="6" spans="2:28" ht="13.5" customHeight="1" x14ac:dyDescent="0.25">
      <c r="B6" s="435"/>
      <c r="C6" s="440"/>
      <c r="D6" s="441"/>
      <c r="E6" s="441"/>
      <c r="F6" s="441"/>
      <c r="G6" s="441"/>
      <c r="H6" s="441"/>
      <c r="I6" s="441"/>
      <c r="J6" s="441"/>
      <c r="K6" s="441"/>
      <c r="L6" s="441"/>
      <c r="M6" s="441"/>
      <c r="N6" s="441"/>
      <c r="O6" s="441"/>
      <c r="P6" s="441"/>
      <c r="Q6" s="441"/>
      <c r="R6" s="441"/>
      <c r="S6" s="441"/>
      <c r="T6" s="442"/>
      <c r="U6" s="235"/>
      <c r="V6" s="235"/>
      <c r="AA6" s="238"/>
      <c r="AB6" s="235"/>
    </row>
    <row r="7" spans="2:28" ht="13.5" customHeight="1" x14ac:dyDescent="0.25">
      <c r="B7" s="435"/>
      <c r="C7" s="440"/>
      <c r="D7" s="441"/>
      <c r="E7" s="441"/>
      <c r="F7" s="441"/>
      <c r="G7" s="441"/>
      <c r="H7" s="441"/>
      <c r="I7" s="441"/>
      <c r="J7" s="441"/>
      <c r="K7" s="441"/>
      <c r="L7" s="441"/>
      <c r="M7" s="441"/>
      <c r="N7" s="441"/>
      <c r="O7" s="441"/>
      <c r="P7" s="441"/>
      <c r="Q7" s="441"/>
      <c r="R7" s="441"/>
      <c r="S7" s="441"/>
      <c r="T7" s="442"/>
      <c r="U7" s="357"/>
      <c r="V7" s="357"/>
      <c r="AA7" s="238"/>
      <c r="AB7" s="357"/>
    </row>
    <row r="8" spans="2:28" ht="13.5" customHeight="1" x14ac:dyDescent="0.25">
      <c r="B8" s="435"/>
      <c r="C8" s="443"/>
      <c r="D8" s="444"/>
      <c r="E8" s="444"/>
      <c r="F8" s="444"/>
      <c r="G8" s="444"/>
      <c r="H8" s="444"/>
      <c r="I8" s="444"/>
      <c r="J8" s="444"/>
      <c r="K8" s="444"/>
      <c r="L8" s="444"/>
      <c r="M8" s="444"/>
      <c r="N8" s="444"/>
      <c r="O8" s="444"/>
      <c r="P8" s="444"/>
      <c r="Q8" s="444"/>
      <c r="R8" s="444"/>
      <c r="S8" s="444"/>
      <c r="T8" s="445"/>
      <c r="U8" s="357"/>
      <c r="V8" s="357"/>
      <c r="AA8" s="238"/>
      <c r="AB8" s="357"/>
    </row>
    <row r="9" spans="2:28" ht="15.75" customHeight="1" x14ac:dyDescent="0.25">
      <c r="B9" s="435"/>
      <c r="C9" s="437" t="s">
        <v>162</v>
      </c>
      <c r="D9" s="438"/>
      <c r="E9" s="438"/>
      <c r="F9" s="438"/>
      <c r="G9" s="438"/>
      <c r="H9" s="438"/>
      <c r="I9" s="438"/>
      <c r="J9" s="438"/>
      <c r="K9" s="438"/>
      <c r="L9" s="438"/>
      <c r="M9" s="438"/>
      <c r="N9" s="438"/>
      <c r="O9" s="438"/>
      <c r="P9" s="438"/>
      <c r="Q9" s="239"/>
      <c r="R9" s="239"/>
      <c r="S9" s="239"/>
      <c r="T9" s="240" t="s">
        <v>163</v>
      </c>
      <c r="U9" s="239"/>
      <c r="V9" s="239"/>
      <c r="AA9" s="238"/>
      <c r="AB9" s="239"/>
    </row>
    <row r="10" spans="2:28" ht="15.75" x14ac:dyDescent="0.25">
      <c r="B10" s="436"/>
      <c r="C10" s="443"/>
      <c r="D10" s="444"/>
      <c r="E10" s="444"/>
      <c r="F10" s="444"/>
      <c r="G10" s="444"/>
      <c r="H10" s="444"/>
      <c r="I10" s="444"/>
      <c r="J10" s="444"/>
      <c r="K10" s="444"/>
      <c r="L10" s="444"/>
      <c r="M10" s="444"/>
      <c r="N10" s="444"/>
      <c r="O10" s="444"/>
      <c r="P10" s="444"/>
      <c r="Q10" s="241"/>
      <c r="R10" s="241"/>
      <c r="S10" s="241"/>
      <c r="T10" s="242">
        <v>2</v>
      </c>
      <c r="U10" s="239"/>
      <c r="V10" s="239"/>
      <c r="AA10" s="238"/>
      <c r="AB10" s="239"/>
    </row>
    <row r="11" spans="2:28" ht="2.25" customHeight="1" x14ac:dyDescent="0.25"/>
    <row r="12" spans="2:28" ht="91.5" customHeight="1" x14ac:dyDescent="0.25">
      <c r="B12" s="247" t="s">
        <v>164</v>
      </c>
      <c r="C12" s="247" t="s">
        <v>165</v>
      </c>
      <c r="D12" s="247" t="s">
        <v>93</v>
      </c>
      <c r="E12" s="247" t="s">
        <v>166</v>
      </c>
      <c r="F12" s="247" t="s">
        <v>167</v>
      </c>
      <c r="G12" s="247" t="s">
        <v>168</v>
      </c>
      <c r="H12" s="247" t="s">
        <v>169</v>
      </c>
      <c r="I12" s="247" t="s">
        <v>170</v>
      </c>
      <c r="J12" s="247" t="s">
        <v>171</v>
      </c>
      <c r="K12" s="247" t="s">
        <v>172</v>
      </c>
      <c r="L12" s="247" t="s">
        <v>173</v>
      </c>
      <c r="M12" s="247" t="s">
        <v>527</v>
      </c>
      <c r="N12" s="247" t="s">
        <v>528</v>
      </c>
      <c r="O12" s="247" t="s">
        <v>64</v>
      </c>
      <c r="P12" s="247" t="s">
        <v>174</v>
      </c>
      <c r="Q12" s="247" t="s">
        <v>102</v>
      </c>
      <c r="R12" s="247" t="s">
        <v>175</v>
      </c>
      <c r="S12" s="247" t="s">
        <v>20</v>
      </c>
      <c r="T12" s="247" t="s">
        <v>529</v>
      </c>
      <c r="U12" s="247" t="s">
        <v>176</v>
      </c>
      <c r="V12" s="247" t="s">
        <v>177</v>
      </c>
      <c r="W12" s="247" t="s">
        <v>178</v>
      </c>
      <c r="X12" s="247" t="s">
        <v>179</v>
      </c>
      <c r="Y12" s="248" t="s">
        <v>530</v>
      </c>
      <c r="Z12" s="248" t="s">
        <v>531</v>
      </c>
      <c r="AA12" s="247" t="s">
        <v>180</v>
      </c>
      <c r="AB12" s="247" t="s">
        <v>181</v>
      </c>
    </row>
    <row r="13" spans="2:28" ht="92.25" customHeight="1" x14ac:dyDescent="0.25">
      <c r="B13" s="249" t="s">
        <v>182</v>
      </c>
      <c r="C13" s="250" t="s">
        <v>183</v>
      </c>
      <c r="D13" s="251" t="s">
        <v>184</v>
      </c>
      <c r="E13" s="252">
        <v>161461800</v>
      </c>
      <c r="F13" s="252"/>
      <c r="G13" s="252"/>
      <c r="H13" s="252"/>
      <c r="I13" s="252"/>
      <c r="J13" s="252">
        <v>-2500000</v>
      </c>
      <c r="K13" s="252">
        <v>-1000000</v>
      </c>
      <c r="L13" s="252"/>
      <c r="M13" s="252">
        <v>-4000000</v>
      </c>
      <c r="N13" s="252"/>
      <c r="O13"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153961800</v>
      </c>
      <c r="P13" s="252"/>
      <c r="Q13" s="252"/>
      <c r="R13" s="252">
        <v>106882291.67</v>
      </c>
      <c r="S13" s="252">
        <f>+Tabla14[[#This Row],[Presupuesto total]]-Tabla14[[#This Row],[Resevas]]-Tabla14[[#This Row],[Compromisos ]]-Tabla14[[#This Row],[Ejecutado]]</f>
        <v>47079508.329999998</v>
      </c>
      <c r="T13" s="253" t="s">
        <v>15</v>
      </c>
      <c r="U13" s="253" t="s">
        <v>185</v>
      </c>
      <c r="V13" s="253" t="s">
        <v>186</v>
      </c>
      <c r="W13" s="249" t="s">
        <v>187</v>
      </c>
      <c r="X13" s="251" t="s">
        <v>188</v>
      </c>
      <c r="Y13" s="254" t="s">
        <v>187</v>
      </c>
      <c r="Z13" s="255" t="s">
        <v>189</v>
      </c>
      <c r="AA13" s="249" t="s">
        <v>190</v>
      </c>
      <c r="AB13" s="249" t="s">
        <v>52</v>
      </c>
    </row>
    <row r="14" spans="2:28" ht="90.75" customHeight="1" x14ac:dyDescent="0.25">
      <c r="B14" s="249" t="s">
        <v>182</v>
      </c>
      <c r="C14" s="251" t="s">
        <v>183</v>
      </c>
      <c r="D14" s="251" t="s">
        <v>184</v>
      </c>
      <c r="E14" s="252">
        <v>219650232</v>
      </c>
      <c r="F14" s="252"/>
      <c r="G14" s="252"/>
      <c r="H14" s="252"/>
      <c r="I14" s="252"/>
      <c r="J14" s="252">
        <v>-2700000</v>
      </c>
      <c r="K14" s="252"/>
      <c r="L14" s="252"/>
      <c r="M14" s="252">
        <v>-3250000</v>
      </c>
      <c r="N14" s="252"/>
      <c r="O14"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213700232</v>
      </c>
      <c r="P14" s="252"/>
      <c r="Q14" s="252"/>
      <c r="R14" s="252">
        <v>152225426.65000001</v>
      </c>
      <c r="S14" s="252">
        <f>+Tabla14[[#This Row],[Presupuesto total]]-Tabla14[[#This Row],[Resevas]]-Tabla14[[#This Row],[Compromisos ]]-Tabla14[[#This Row],[Ejecutado]]</f>
        <v>61474805.349999994</v>
      </c>
      <c r="T14" s="253" t="s">
        <v>15</v>
      </c>
      <c r="U14" s="253" t="s">
        <v>191</v>
      </c>
      <c r="V14" s="253" t="s">
        <v>192</v>
      </c>
      <c r="W14" s="254" t="s">
        <v>193</v>
      </c>
      <c r="X14" s="255" t="s">
        <v>194</v>
      </c>
      <c r="Y14" s="254" t="s">
        <v>195</v>
      </c>
      <c r="Z14" s="255" t="s">
        <v>196</v>
      </c>
      <c r="AA14" s="249" t="s">
        <v>197</v>
      </c>
      <c r="AB14" s="249"/>
    </row>
    <row r="15" spans="2:28" ht="90.75" customHeight="1" x14ac:dyDescent="0.25">
      <c r="B15" s="249" t="s">
        <v>182</v>
      </c>
      <c r="C15" s="251" t="s">
        <v>183</v>
      </c>
      <c r="D15" s="251" t="s">
        <v>198</v>
      </c>
      <c r="E15" s="252"/>
      <c r="F15" s="252"/>
      <c r="G15" s="252"/>
      <c r="H15" s="252"/>
      <c r="I15" s="252"/>
      <c r="J15" s="252">
        <v>5000000</v>
      </c>
      <c r="K15" s="252"/>
      <c r="L15" s="252"/>
      <c r="M15" s="252"/>
      <c r="N15" s="252"/>
      <c r="O15"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5000000</v>
      </c>
      <c r="P15" s="252"/>
      <c r="Q15" s="252"/>
      <c r="R15" s="252">
        <v>1364125.76</v>
      </c>
      <c r="S15" s="252">
        <f>+Tabla14[[#This Row],[Presupuesto total]]-Tabla14[[#This Row],[Resevas]]-Tabla14[[#This Row],[Compromisos ]]-Tabla14[[#This Row],[Ejecutado]]</f>
        <v>3635874.24</v>
      </c>
      <c r="T15" s="253" t="s">
        <v>15</v>
      </c>
      <c r="U15" s="253" t="s">
        <v>191</v>
      </c>
      <c r="V15" s="253" t="s">
        <v>192</v>
      </c>
      <c r="W15" s="254" t="s">
        <v>193</v>
      </c>
      <c r="X15" s="255" t="s">
        <v>194</v>
      </c>
      <c r="Y15" s="254" t="s">
        <v>195</v>
      </c>
      <c r="Z15" s="255" t="s">
        <v>196</v>
      </c>
      <c r="AA15" s="255" t="s">
        <v>199</v>
      </c>
      <c r="AB15" s="249"/>
    </row>
    <row r="16" spans="2:28" ht="90.75" customHeight="1" x14ac:dyDescent="0.25">
      <c r="B16" s="249" t="s">
        <v>182</v>
      </c>
      <c r="C16" s="251" t="s">
        <v>183</v>
      </c>
      <c r="D16" s="251" t="s">
        <v>200</v>
      </c>
      <c r="E16" s="252">
        <v>0</v>
      </c>
      <c r="F16" s="252"/>
      <c r="G16" s="252"/>
      <c r="H16" s="252"/>
      <c r="I16" s="252">
        <v>1100000</v>
      </c>
      <c r="J16" s="252"/>
      <c r="K16" s="252"/>
      <c r="L16" s="252"/>
      <c r="M16" s="252">
        <v>1000000</v>
      </c>
      <c r="N16" s="252"/>
      <c r="O16"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2100000</v>
      </c>
      <c r="P16" s="252"/>
      <c r="Q16" s="252"/>
      <c r="R16" s="252">
        <v>0</v>
      </c>
      <c r="S16" s="252">
        <f>+Tabla14[[#This Row],[Presupuesto total]]-Tabla14[[#This Row],[Resevas]]-Tabla14[[#This Row],[Compromisos ]]-Tabla14[[#This Row],[Ejecutado]]</f>
        <v>2100000</v>
      </c>
      <c r="T16" s="253" t="s">
        <v>15</v>
      </c>
      <c r="U16" s="253" t="s">
        <v>185</v>
      </c>
      <c r="V16" s="249" t="s">
        <v>187</v>
      </c>
      <c r="W16" s="249" t="s">
        <v>187</v>
      </c>
      <c r="X16" s="251" t="s">
        <v>188</v>
      </c>
      <c r="Y16" s="254" t="s">
        <v>187</v>
      </c>
      <c r="Z16" s="255" t="s">
        <v>189</v>
      </c>
      <c r="AA16" s="255" t="s">
        <v>201</v>
      </c>
      <c r="AB16" s="249"/>
    </row>
    <row r="17" spans="2:28" ht="90.75" customHeight="1" x14ac:dyDescent="0.25">
      <c r="B17" s="254" t="s">
        <v>182</v>
      </c>
      <c r="C17" s="251" t="s">
        <v>183</v>
      </c>
      <c r="D17" s="255" t="s">
        <v>200</v>
      </c>
      <c r="E17" s="252">
        <v>0</v>
      </c>
      <c r="F17" s="252"/>
      <c r="G17" s="252"/>
      <c r="H17" s="252"/>
      <c r="I17" s="252">
        <v>1100000</v>
      </c>
      <c r="J17" s="252"/>
      <c r="K17" s="252"/>
      <c r="L17" s="252"/>
      <c r="M17" s="252">
        <v>3000000</v>
      </c>
      <c r="N17" s="252"/>
      <c r="O17"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4100000</v>
      </c>
      <c r="P17" s="252"/>
      <c r="Q17" s="252"/>
      <c r="R17" s="252">
        <v>1247000</v>
      </c>
      <c r="S17" s="252">
        <f>+Tabla14[[#This Row],[Presupuesto total]]-Tabla14[[#This Row],[Resevas]]-Tabla14[[#This Row],[Compromisos ]]-Tabla14[[#This Row],[Ejecutado]]</f>
        <v>2853000</v>
      </c>
      <c r="T17" s="253" t="s">
        <v>15</v>
      </c>
      <c r="U17" s="253" t="s">
        <v>191</v>
      </c>
      <c r="V17" s="253" t="s">
        <v>192</v>
      </c>
      <c r="W17" s="254" t="s">
        <v>193</v>
      </c>
      <c r="X17" s="255" t="s">
        <v>194</v>
      </c>
      <c r="Y17" s="254" t="s">
        <v>195</v>
      </c>
      <c r="Z17" s="255" t="s">
        <v>196</v>
      </c>
      <c r="AA17" s="255" t="s">
        <v>201</v>
      </c>
      <c r="AB17" s="249"/>
    </row>
    <row r="18" spans="2:28" ht="67.5" x14ac:dyDescent="0.25">
      <c r="B18" s="254" t="s">
        <v>182</v>
      </c>
      <c r="C18" s="256" t="s">
        <v>202</v>
      </c>
      <c r="D18" s="255" t="s">
        <v>203</v>
      </c>
      <c r="E18" s="252">
        <v>7200000</v>
      </c>
      <c r="F18" s="252"/>
      <c r="G18" s="252"/>
      <c r="H18" s="252"/>
      <c r="I18" s="252"/>
      <c r="J18" s="252"/>
      <c r="K18" s="252"/>
      <c r="L18" s="252"/>
      <c r="M18" s="252"/>
      <c r="N18" s="252"/>
      <c r="O18"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7200000</v>
      </c>
      <c r="P18" s="252">
        <v>0</v>
      </c>
      <c r="Q18" s="252">
        <v>0</v>
      </c>
      <c r="R18" s="252">
        <v>5173113.6100000003</v>
      </c>
      <c r="S18" s="252">
        <f>+Tabla14[[#This Row],[Presupuesto total]]-Tabla14[[#This Row],[Resevas]]-Tabla14[[#This Row],[Compromisos ]]-Tabla14[[#This Row],[Ejecutado]]</f>
        <v>2026886.3899999997</v>
      </c>
      <c r="T18" s="257" t="s">
        <v>15</v>
      </c>
      <c r="U18" s="253" t="s">
        <v>191</v>
      </c>
      <c r="V18" s="253" t="s">
        <v>204</v>
      </c>
      <c r="W18" s="254" t="s">
        <v>205</v>
      </c>
      <c r="X18" s="254" t="s">
        <v>206</v>
      </c>
      <c r="Y18" s="258" t="s">
        <v>205</v>
      </c>
      <c r="Z18" s="254" t="s">
        <v>207</v>
      </c>
      <c r="AA18" s="254" t="s">
        <v>208</v>
      </c>
      <c r="AB18" s="254" t="s">
        <v>209</v>
      </c>
    </row>
    <row r="19" spans="2:28" ht="54" x14ac:dyDescent="0.25">
      <c r="B19" s="249" t="s">
        <v>182</v>
      </c>
      <c r="C19" s="256" t="s">
        <v>210</v>
      </c>
      <c r="D19" s="251" t="s">
        <v>211</v>
      </c>
      <c r="E19" s="252">
        <v>71206212</v>
      </c>
      <c r="F19" s="252"/>
      <c r="G19" s="252"/>
      <c r="H19" s="252"/>
      <c r="I19" s="252"/>
      <c r="J19" s="252">
        <v>-2000000</v>
      </c>
      <c r="K19" s="252">
        <v>-393722.8</v>
      </c>
      <c r="L19" s="252"/>
      <c r="M19" s="252"/>
      <c r="N19" s="252"/>
      <c r="O19"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68812489.200000003</v>
      </c>
      <c r="P19" s="252"/>
      <c r="Q19" s="252"/>
      <c r="R19" s="252">
        <v>45710904.740000002</v>
      </c>
      <c r="S19" s="252">
        <f>+Tabla14[[#This Row],[Presupuesto total]]-Tabla14[[#This Row],[Resevas]]-Tabla14[[#This Row],[Compromisos ]]-Tabla14[[#This Row],[Ejecutado]]</f>
        <v>23101584.460000001</v>
      </c>
      <c r="T19" s="253" t="s">
        <v>15</v>
      </c>
      <c r="U19" s="253" t="s">
        <v>185</v>
      </c>
      <c r="V19" s="253" t="s">
        <v>186</v>
      </c>
      <c r="W19" s="254" t="s">
        <v>187</v>
      </c>
      <c r="X19" s="255" t="s">
        <v>188</v>
      </c>
      <c r="Y19" s="254" t="s">
        <v>187</v>
      </c>
      <c r="Z19" s="255" t="s">
        <v>189</v>
      </c>
      <c r="AA19" s="259" t="s">
        <v>212</v>
      </c>
      <c r="AB19" s="259"/>
    </row>
    <row r="20" spans="2:28" ht="40.5" x14ac:dyDescent="0.25">
      <c r="B20" s="249" t="s">
        <v>182</v>
      </c>
      <c r="C20" s="256" t="s">
        <v>210</v>
      </c>
      <c r="D20" s="251" t="s">
        <v>211</v>
      </c>
      <c r="E20" s="252">
        <v>64878924</v>
      </c>
      <c r="F20" s="252"/>
      <c r="G20" s="252"/>
      <c r="H20" s="252"/>
      <c r="I20" s="252"/>
      <c r="J20" s="252">
        <v>-500000</v>
      </c>
      <c r="K20" s="252"/>
      <c r="L20" s="252"/>
      <c r="M20" s="252">
        <v>-850000</v>
      </c>
      <c r="N20" s="252"/>
      <c r="O20"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63528924</v>
      </c>
      <c r="P20" s="252"/>
      <c r="Q20" s="252"/>
      <c r="R20" s="252">
        <v>44138129.439999998</v>
      </c>
      <c r="S20" s="252">
        <f>+Tabla14[[#This Row],[Presupuesto total]]-Tabla14[[#This Row],[Resevas]]-Tabla14[[#This Row],[Compromisos ]]-Tabla14[[#This Row],[Ejecutado]]</f>
        <v>19390794.560000002</v>
      </c>
      <c r="T20" s="253" t="s">
        <v>15</v>
      </c>
      <c r="U20" s="253" t="s">
        <v>191</v>
      </c>
      <c r="V20" s="253" t="s">
        <v>192</v>
      </c>
      <c r="W20" s="254" t="s">
        <v>193</v>
      </c>
      <c r="X20" s="255" t="s">
        <v>194</v>
      </c>
      <c r="Y20" s="254" t="s">
        <v>195</v>
      </c>
      <c r="Z20" s="255" t="s">
        <v>196</v>
      </c>
      <c r="AA20" s="259" t="s">
        <v>213</v>
      </c>
      <c r="AB20" s="259"/>
    </row>
    <row r="21" spans="2:28" ht="54" x14ac:dyDescent="0.25">
      <c r="B21" s="249" t="s">
        <v>182</v>
      </c>
      <c r="C21" s="256" t="s">
        <v>210</v>
      </c>
      <c r="D21" s="251" t="s">
        <v>214</v>
      </c>
      <c r="E21" s="252">
        <v>76985910</v>
      </c>
      <c r="F21" s="252"/>
      <c r="G21" s="252"/>
      <c r="H21" s="252"/>
      <c r="I21" s="252"/>
      <c r="J21" s="252">
        <v>-1000000</v>
      </c>
      <c r="K21" s="252"/>
      <c r="L21" s="252"/>
      <c r="M21" s="252">
        <v>-1000000</v>
      </c>
      <c r="N21" s="252"/>
      <c r="O21"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74985910</v>
      </c>
      <c r="P21" s="252"/>
      <c r="Q21" s="252"/>
      <c r="R21" s="252">
        <v>50518600.420000002</v>
      </c>
      <c r="S21" s="252">
        <f>+Tabla14[[#This Row],[Presupuesto total]]-Tabla14[[#This Row],[Resevas]]-Tabla14[[#This Row],[Compromisos ]]-Tabla14[[#This Row],[Ejecutado]]</f>
        <v>24467309.579999998</v>
      </c>
      <c r="T21" s="253" t="s">
        <v>15</v>
      </c>
      <c r="U21" s="253" t="s">
        <v>185</v>
      </c>
      <c r="V21" s="253" t="s">
        <v>186</v>
      </c>
      <c r="W21" s="254" t="s">
        <v>187</v>
      </c>
      <c r="X21" s="255" t="s">
        <v>188</v>
      </c>
      <c r="Y21" s="254" t="s">
        <v>187</v>
      </c>
      <c r="Z21" s="255" t="s">
        <v>189</v>
      </c>
      <c r="AA21" s="249" t="s">
        <v>215</v>
      </c>
      <c r="AB21" s="249"/>
    </row>
    <row r="22" spans="2:28" ht="40.5" x14ac:dyDescent="0.25">
      <c r="B22" s="249" t="s">
        <v>182</v>
      </c>
      <c r="C22" s="256" t="s">
        <v>210</v>
      </c>
      <c r="D22" s="251" t="s">
        <v>214</v>
      </c>
      <c r="E22" s="252">
        <v>73066170</v>
      </c>
      <c r="F22" s="252"/>
      <c r="G22" s="252"/>
      <c r="H22" s="252"/>
      <c r="I22" s="252"/>
      <c r="J22" s="252">
        <v>-2000000</v>
      </c>
      <c r="K22" s="252">
        <v>-2500000</v>
      </c>
      <c r="L22" s="252"/>
      <c r="M22" s="252">
        <v>-350000</v>
      </c>
      <c r="N22" s="252"/>
      <c r="O22"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68216170</v>
      </c>
      <c r="P22" s="252"/>
      <c r="Q22" s="252"/>
      <c r="R22" s="252">
        <v>46647157.950000003</v>
      </c>
      <c r="S22" s="252">
        <f>+Tabla14[[#This Row],[Presupuesto total]]-Tabla14[[#This Row],[Resevas]]-Tabla14[[#This Row],[Compromisos ]]-Tabla14[[#This Row],[Ejecutado]]</f>
        <v>21569012.049999997</v>
      </c>
      <c r="T22" s="253" t="s">
        <v>15</v>
      </c>
      <c r="U22" s="253" t="s">
        <v>191</v>
      </c>
      <c r="V22" s="253" t="s">
        <v>192</v>
      </c>
      <c r="W22" s="254" t="s">
        <v>193</v>
      </c>
      <c r="X22" s="255" t="s">
        <v>194</v>
      </c>
      <c r="Y22" s="254" t="s">
        <v>195</v>
      </c>
      <c r="Z22" s="255" t="s">
        <v>196</v>
      </c>
      <c r="AA22" s="249" t="s">
        <v>216</v>
      </c>
      <c r="AB22" s="249"/>
    </row>
    <row r="23" spans="2:28" ht="54" x14ac:dyDescent="0.25">
      <c r="B23" s="249" t="s">
        <v>182</v>
      </c>
      <c r="C23" s="256" t="s">
        <v>210</v>
      </c>
      <c r="D23" s="251" t="s">
        <v>217</v>
      </c>
      <c r="E23" s="252">
        <v>30553823.989999998</v>
      </c>
      <c r="F23" s="252"/>
      <c r="G23" s="252"/>
      <c r="H23" s="252"/>
      <c r="I23" s="252"/>
      <c r="J23" s="252"/>
      <c r="K23" s="252"/>
      <c r="L23" s="252"/>
      <c r="M23" s="252"/>
      <c r="N23" s="252"/>
      <c r="O23"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30553823.989999998</v>
      </c>
      <c r="P23" s="252"/>
      <c r="Q23" s="252"/>
      <c r="R23" s="252">
        <v>0</v>
      </c>
      <c r="S23" s="252">
        <f>+Tabla14[[#This Row],[Presupuesto total]]-Tabla14[[#This Row],[Resevas]]-Tabla14[[#This Row],[Compromisos ]]-Tabla14[[#This Row],[Ejecutado]]</f>
        <v>30553823.989999998</v>
      </c>
      <c r="T23" s="253" t="s">
        <v>15</v>
      </c>
      <c r="U23" s="253" t="s">
        <v>185</v>
      </c>
      <c r="V23" s="253" t="s">
        <v>186</v>
      </c>
      <c r="W23" s="254" t="s">
        <v>187</v>
      </c>
      <c r="X23" s="255" t="s">
        <v>188</v>
      </c>
      <c r="Y23" s="254" t="s">
        <v>187</v>
      </c>
      <c r="Z23" s="255" t="s">
        <v>189</v>
      </c>
      <c r="AA23" s="249" t="s">
        <v>218</v>
      </c>
      <c r="AB23" s="249"/>
    </row>
    <row r="24" spans="2:28" ht="40.5" x14ac:dyDescent="0.25">
      <c r="B24" s="249" t="s">
        <v>182</v>
      </c>
      <c r="C24" s="256" t="s">
        <v>210</v>
      </c>
      <c r="D24" s="251" t="s">
        <v>217</v>
      </c>
      <c r="E24" s="252">
        <v>34179769.380000003</v>
      </c>
      <c r="F24" s="252"/>
      <c r="G24" s="252"/>
      <c r="H24" s="252"/>
      <c r="I24" s="252"/>
      <c r="J24" s="252"/>
      <c r="K24" s="252"/>
      <c r="L24" s="252"/>
      <c r="M24" s="252"/>
      <c r="N24" s="252"/>
      <c r="O24"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34179769.380000003</v>
      </c>
      <c r="P24" s="252"/>
      <c r="Q24" s="252"/>
      <c r="R24" s="252">
        <v>0</v>
      </c>
      <c r="S24" s="252">
        <f>+Tabla14[[#This Row],[Presupuesto total]]-Tabla14[[#This Row],[Resevas]]-Tabla14[[#This Row],[Compromisos ]]-Tabla14[[#This Row],[Ejecutado]]</f>
        <v>34179769.380000003</v>
      </c>
      <c r="T24" s="253" t="s">
        <v>15</v>
      </c>
      <c r="U24" s="253" t="s">
        <v>191</v>
      </c>
      <c r="V24" s="253" t="s">
        <v>192</v>
      </c>
      <c r="W24" s="254" t="s">
        <v>193</v>
      </c>
      <c r="X24" s="255" t="s">
        <v>194</v>
      </c>
      <c r="Y24" s="254" t="s">
        <v>195</v>
      </c>
      <c r="Z24" s="255" t="s">
        <v>196</v>
      </c>
      <c r="AA24" s="249" t="s">
        <v>219</v>
      </c>
      <c r="AB24" s="249"/>
    </row>
    <row r="25" spans="2:28" ht="54" x14ac:dyDescent="0.25">
      <c r="B25" s="249" t="s">
        <v>182</v>
      </c>
      <c r="C25" s="256" t="s">
        <v>210</v>
      </c>
      <c r="D25" s="251" t="s">
        <v>220</v>
      </c>
      <c r="E25" s="252">
        <v>28193115.91</v>
      </c>
      <c r="F25" s="252"/>
      <c r="G25" s="252"/>
      <c r="H25" s="252"/>
      <c r="I25" s="252">
        <v>-2200000</v>
      </c>
      <c r="J25" s="252"/>
      <c r="K25" s="252"/>
      <c r="L25" s="252"/>
      <c r="M25" s="252"/>
      <c r="N25" s="252"/>
      <c r="O25"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25993115.91</v>
      </c>
      <c r="P25" s="252"/>
      <c r="Q25" s="252"/>
      <c r="R25" s="252">
        <v>25974267.420000002</v>
      </c>
      <c r="S25" s="252">
        <f>+Tabla14[[#This Row],[Presupuesto total]]-Tabla14[[#This Row],[Resevas]]-Tabla14[[#This Row],[Compromisos ]]-Tabla14[[#This Row],[Ejecutado]]</f>
        <v>18848.489999998361</v>
      </c>
      <c r="T25" s="253" t="s">
        <v>15</v>
      </c>
      <c r="U25" s="253" t="s">
        <v>185</v>
      </c>
      <c r="V25" s="253" t="s">
        <v>186</v>
      </c>
      <c r="W25" s="254" t="s">
        <v>187</v>
      </c>
      <c r="X25" s="255" t="s">
        <v>188</v>
      </c>
      <c r="Y25" s="254" t="s">
        <v>187</v>
      </c>
      <c r="Z25" s="255" t="s">
        <v>189</v>
      </c>
      <c r="AA25" s="249" t="s">
        <v>221</v>
      </c>
      <c r="AB25" s="249"/>
    </row>
    <row r="26" spans="2:28" ht="40.5" x14ac:dyDescent="0.25">
      <c r="B26" s="249" t="s">
        <v>182</v>
      </c>
      <c r="C26" s="256" t="s">
        <v>210</v>
      </c>
      <c r="D26" s="251" t="s">
        <v>220</v>
      </c>
      <c r="E26" s="252">
        <v>31538906.559999999</v>
      </c>
      <c r="F26" s="252"/>
      <c r="G26" s="252"/>
      <c r="H26" s="252"/>
      <c r="I26" s="252">
        <v>-500000</v>
      </c>
      <c r="J26" s="252">
        <v>-2430000</v>
      </c>
      <c r="K26" s="252"/>
      <c r="L26" s="252"/>
      <c r="M26" s="252"/>
      <c r="N26" s="252"/>
      <c r="O26"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28608906.559999999</v>
      </c>
      <c r="P26" s="252"/>
      <c r="Q26" s="252"/>
      <c r="R26" s="252">
        <v>28608521.300000001</v>
      </c>
      <c r="S26" s="252">
        <f>+Tabla14[[#This Row],[Presupuesto total]]-Tabla14[[#This Row],[Resevas]]-Tabla14[[#This Row],[Compromisos ]]-Tabla14[[#This Row],[Ejecutado]]</f>
        <v>385.25999999791384</v>
      </c>
      <c r="T26" s="253" t="s">
        <v>15</v>
      </c>
      <c r="U26" s="253" t="s">
        <v>191</v>
      </c>
      <c r="V26" s="253" t="s">
        <v>192</v>
      </c>
      <c r="W26" s="254" t="s">
        <v>193</v>
      </c>
      <c r="X26" s="255" t="s">
        <v>194</v>
      </c>
      <c r="Y26" s="254" t="s">
        <v>195</v>
      </c>
      <c r="Z26" s="255" t="s">
        <v>196</v>
      </c>
      <c r="AA26" s="249" t="s">
        <v>222</v>
      </c>
      <c r="AB26" s="249"/>
    </row>
    <row r="27" spans="2:28" ht="54" x14ac:dyDescent="0.25">
      <c r="B27" s="249" t="s">
        <v>182</v>
      </c>
      <c r="C27" s="256" t="s">
        <v>210</v>
      </c>
      <c r="D27" s="251" t="s">
        <v>223</v>
      </c>
      <c r="E27" s="252">
        <v>28298850</v>
      </c>
      <c r="F27" s="252"/>
      <c r="G27" s="252"/>
      <c r="H27" s="252"/>
      <c r="I27" s="252"/>
      <c r="J27" s="252">
        <v>-2000000</v>
      </c>
      <c r="K27" s="252">
        <v>-2000000</v>
      </c>
      <c r="L27" s="252"/>
      <c r="M27" s="252"/>
      <c r="N27" s="252"/>
      <c r="O27"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24298850</v>
      </c>
      <c r="P27" s="252"/>
      <c r="Q27" s="252"/>
      <c r="R27" s="252">
        <v>15925926.029999999</v>
      </c>
      <c r="S27" s="252">
        <f>+Tabla14[[#This Row],[Presupuesto total]]-Tabla14[[#This Row],[Resevas]]-Tabla14[[#This Row],[Compromisos ]]-Tabla14[[#This Row],[Ejecutado]]</f>
        <v>8372923.9700000007</v>
      </c>
      <c r="T27" s="253" t="s">
        <v>15</v>
      </c>
      <c r="U27" s="253" t="s">
        <v>185</v>
      </c>
      <c r="V27" s="253" t="s">
        <v>186</v>
      </c>
      <c r="W27" s="254" t="s">
        <v>187</v>
      </c>
      <c r="X27" s="255" t="s">
        <v>188</v>
      </c>
      <c r="Y27" s="254" t="s">
        <v>187</v>
      </c>
      <c r="Z27" s="255" t="s">
        <v>189</v>
      </c>
      <c r="AA27" s="249" t="s">
        <v>224</v>
      </c>
      <c r="AB27" s="249"/>
    </row>
    <row r="28" spans="2:28" ht="40.5" x14ac:dyDescent="0.25">
      <c r="B28" s="249" t="s">
        <v>182</v>
      </c>
      <c r="C28" s="256" t="s">
        <v>210</v>
      </c>
      <c r="D28" s="251" t="s">
        <v>223</v>
      </c>
      <c r="E28" s="252">
        <v>20523000</v>
      </c>
      <c r="F28" s="252"/>
      <c r="G28" s="252"/>
      <c r="H28" s="252"/>
      <c r="I28" s="252"/>
      <c r="J28" s="252"/>
      <c r="K28" s="252">
        <v>-500000</v>
      </c>
      <c r="L28" s="252"/>
      <c r="M28" s="252"/>
      <c r="N28" s="252"/>
      <c r="O28"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20023000</v>
      </c>
      <c r="P28" s="252"/>
      <c r="Q28" s="252"/>
      <c r="R28" s="252">
        <v>12980883.15</v>
      </c>
      <c r="S28" s="252">
        <f>+Tabla14[[#This Row],[Presupuesto total]]-Tabla14[[#This Row],[Resevas]]-Tabla14[[#This Row],[Compromisos ]]-Tabla14[[#This Row],[Ejecutado]]</f>
        <v>7042116.8499999996</v>
      </c>
      <c r="T28" s="253" t="s">
        <v>15</v>
      </c>
      <c r="U28" s="253" t="s">
        <v>191</v>
      </c>
      <c r="V28" s="253" t="s">
        <v>192</v>
      </c>
      <c r="W28" s="254" t="s">
        <v>193</v>
      </c>
      <c r="X28" s="255" t="s">
        <v>194</v>
      </c>
      <c r="Y28" s="254" t="s">
        <v>195</v>
      </c>
      <c r="Z28" s="255" t="s">
        <v>196</v>
      </c>
      <c r="AA28" s="249" t="s">
        <v>225</v>
      </c>
      <c r="AB28" s="249"/>
    </row>
    <row r="29" spans="2:28" ht="67.5" x14ac:dyDescent="0.25">
      <c r="B29" s="249" t="s">
        <v>182</v>
      </c>
      <c r="C29" s="260" t="s">
        <v>226</v>
      </c>
      <c r="D29" s="251" t="s">
        <v>227</v>
      </c>
      <c r="E29" s="252">
        <v>33914744.630000003</v>
      </c>
      <c r="F29" s="252"/>
      <c r="G29" s="252"/>
      <c r="H29" s="252"/>
      <c r="I29" s="252"/>
      <c r="J29" s="252"/>
      <c r="K29" s="252"/>
      <c r="L29" s="252"/>
      <c r="M29" s="252"/>
      <c r="N29" s="252"/>
      <c r="O29"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33914744.630000003</v>
      </c>
      <c r="P29" s="252"/>
      <c r="Q29" s="252"/>
      <c r="R29" s="252">
        <v>22569017.66</v>
      </c>
      <c r="S29" s="252">
        <f>+Tabla14[[#This Row],[Presupuesto total]]-Tabla14[[#This Row],[Resevas]]-Tabla14[[#This Row],[Compromisos ]]-Tabla14[[#This Row],[Ejecutado]]</f>
        <v>11345726.970000003</v>
      </c>
      <c r="T29" s="253" t="s">
        <v>15</v>
      </c>
      <c r="U29" s="253" t="s">
        <v>185</v>
      </c>
      <c r="V29" s="253" t="s">
        <v>186</v>
      </c>
      <c r="W29" s="254" t="s">
        <v>187</v>
      </c>
      <c r="X29" s="255" t="s">
        <v>188</v>
      </c>
      <c r="Y29" s="254" t="s">
        <v>187</v>
      </c>
      <c r="Z29" s="255" t="s">
        <v>189</v>
      </c>
      <c r="AA29" s="259" t="s">
        <v>228</v>
      </c>
      <c r="AB29" s="259"/>
    </row>
    <row r="30" spans="2:28" ht="67.5" x14ac:dyDescent="0.25">
      <c r="B30" s="249" t="s">
        <v>182</v>
      </c>
      <c r="C30" s="260" t="s">
        <v>226</v>
      </c>
      <c r="D30" s="251" t="s">
        <v>227</v>
      </c>
      <c r="E30" s="252">
        <v>37939544.009999998</v>
      </c>
      <c r="F30" s="252"/>
      <c r="G30" s="252"/>
      <c r="H30" s="252"/>
      <c r="I30" s="252"/>
      <c r="J30" s="252"/>
      <c r="K30" s="252"/>
      <c r="L30" s="252"/>
      <c r="M30" s="252">
        <v>400000</v>
      </c>
      <c r="N30" s="252"/>
      <c r="O30"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38339544.009999998</v>
      </c>
      <c r="P30" s="252"/>
      <c r="Q30" s="252"/>
      <c r="R30" s="252">
        <v>28934151.390000001</v>
      </c>
      <c r="S30" s="252">
        <f>+Tabla14[[#This Row],[Presupuesto total]]-Tabla14[[#This Row],[Resevas]]-Tabla14[[#This Row],[Compromisos ]]-Tabla14[[#This Row],[Ejecutado]]</f>
        <v>9405392.6199999973</v>
      </c>
      <c r="T30" s="253" t="s">
        <v>15</v>
      </c>
      <c r="U30" s="253" t="s">
        <v>191</v>
      </c>
      <c r="V30" s="253" t="s">
        <v>192</v>
      </c>
      <c r="W30" s="254" t="s">
        <v>193</v>
      </c>
      <c r="X30" s="255" t="s">
        <v>194</v>
      </c>
      <c r="Y30" s="254" t="s">
        <v>195</v>
      </c>
      <c r="Z30" s="255" t="s">
        <v>196</v>
      </c>
      <c r="AA30" s="259" t="s">
        <v>229</v>
      </c>
      <c r="AB30" s="259"/>
    </row>
    <row r="31" spans="2:28" ht="67.5" x14ac:dyDescent="0.25">
      <c r="B31" s="249" t="s">
        <v>182</v>
      </c>
      <c r="C31" s="260" t="s">
        <v>226</v>
      </c>
      <c r="D31" s="251" t="s">
        <v>230</v>
      </c>
      <c r="E31" s="252">
        <v>5499688.3200000003</v>
      </c>
      <c r="F31" s="252"/>
      <c r="G31" s="252"/>
      <c r="H31" s="252"/>
      <c r="I31" s="252"/>
      <c r="J31" s="252"/>
      <c r="K31" s="252"/>
      <c r="L31" s="252"/>
      <c r="M31" s="252"/>
      <c r="N31" s="252"/>
      <c r="O31"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5499688.3200000003</v>
      </c>
      <c r="P31" s="252"/>
      <c r="Q31" s="252"/>
      <c r="R31" s="252">
        <v>3659630.06</v>
      </c>
      <c r="S31" s="252">
        <f>+Tabla14[[#This Row],[Presupuesto total]]-Tabla14[[#This Row],[Resevas]]-Tabla14[[#This Row],[Compromisos ]]-Tabla14[[#This Row],[Ejecutado]]</f>
        <v>1840058.2600000002</v>
      </c>
      <c r="T31" s="253" t="s">
        <v>15</v>
      </c>
      <c r="U31" s="253" t="s">
        <v>185</v>
      </c>
      <c r="V31" s="253" t="s">
        <v>186</v>
      </c>
      <c r="W31" s="254" t="s">
        <v>187</v>
      </c>
      <c r="X31" s="255" t="s">
        <v>188</v>
      </c>
      <c r="Y31" s="254" t="s">
        <v>187</v>
      </c>
      <c r="Z31" s="255" t="s">
        <v>189</v>
      </c>
      <c r="AA31" s="259" t="s">
        <v>231</v>
      </c>
      <c r="AB31" s="259"/>
    </row>
    <row r="32" spans="2:28" ht="67.5" x14ac:dyDescent="0.25">
      <c r="B32" s="249" t="s">
        <v>182</v>
      </c>
      <c r="C32" s="260" t="s">
        <v>226</v>
      </c>
      <c r="D32" s="251" t="s">
        <v>230</v>
      </c>
      <c r="E32" s="261">
        <v>6152358.4900000002</v>
      </c>
      <c r="F32" s="261"/>
      <c r="G32" s="261"/>
      <c r="H32" s="261"/>
      <c r="I32" s="261"/>
      <c r="J32" s="261"/>
      <c r="K32" s="261"/>
      <c r="L32" s="261"/>
      <c r="M32" s="261">
        <v>100000</v>
      </c>
      <c r="N32" s="261"/>
      <c r="O32"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6252358.4900000002</v>
      </c>
      <c r="P32" s="252"/>
      <c r="Q32" s="252"/>
      <c r="R32" s="252">
        <v>4672466.9400000004</v>
      </c>
      <c r="S32" s="252">
        <f>+Tabla14[[#This Row],[Presupuesto total]]-Tabla14[[#This Row],[Resevas]]-Tabla14[[#This Row],[Compromisos ]]-Tabla14[[#This Row],[Ejecutado]]</f>
        <v>1579891.5499999998</v>
      </c>
      <c r="T32" s="253" t="s">
        <v>15</v>
      </c>
      <c r="U32" s="253" t="s">
        <v>191</v>
      </c>
      <c r="V32" s="253" t="s">
        <v>192</v>
      </c>
      <c r="W32" s="254" t="s">
        <v>193</v>
      </c>
      <c r="X32" s="255" t="s">
        <v>194</v>
      </c>
      <c r="Y32" s="254" t="s">
        <v>195</v>
      </c>
      <c r="Z32" s="255" t="s">
        <v>196</v>
      </c>
      <c r="AA32" s="259" t="s">
        <v>232</v>
      </c>
      <c r="AB32" s="259"/>
    </row>
    <row r="33" spans="2:28" ht="67.5" x14ac:dyDescent="0.25">
      <c r="B33" s="249" t="s">
        <v>182</v>
      </c>
      <c r="C33" s="260" t="s">
        <v>226</v>
      </c>
      <c r="D33" s="251" t="s">
        <v>233</v>
      </c>
      <c r="E33" s="261">
        <v>18332294.399999999</v>
      </c>
      <c r="F33" s="261"/>
      <c r="G33" s="261"/>
      <c r="H33" s="261"/>
      <c r="I33" s="261"/>
      <c r="J33" s="261"/>
      <c r="K33" s="261"/>
      <c r="L33" s="261"/>
      <c r="M33" s="261"/>
      <c r="N33" s="261"/>
      <c r="O33"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18332294.399999999</v>
      </c>
      <c r="P33" s="252"/>
      <c r="Q33" s="252"/>
      <c r="R33" s="252">
        <v>12198767.699999999</v>
      </c>
      <c r="S33" s="252">
        <f>+Tabla14[[#This Row],[Presupuesto total]]-Tabla14[[#This Row],[Resevas]]-Tabla14[[#This Row],[Compromisos ]]-Tabla14[[#This Row],[Ejecutado]]</f>
        <v>6133526.6999999993</v>
      </c>
      <c r="T33" s="253" t="s">
        <v>15</v>
      </c>
      <c r="U33" s="253" t="s">
        <v>185</v>
      </c>
      <c r="V33" s="253" t="s">
        <v>186</v>
      </c>
      <c r="W33" s="254" t="s">
        <v>187</v>
      </c>
      <c r="X33" s="255" t="s">
        <v>188</v>
      </c>
      <c r="Y33" s="254" t="s">
        <v>187</v>
      </c>
      <c r="Z33" s="255" t="s">
        <v>189</v>
      </c>
      <c r="AA33" s="259" t="s">
        <v>234</v>
      </c>
      <c r="AB33" s="259"/>
    </row>
    <row r="34" spans="2:28" ht="67.5" x14ac:dyDescent="0.25">
      <c r="B34" s="249" t="s">
        <v>182</v>
      </c>
      <c r="C34" s="260" t="s">
        <v>226</v>
      </c>
      <c r="D34" s="251" t="s">
        <v>233</v>
      </c>
      <c r="E34" s="261">
        <v>20507861.629999999</v>
      </c>
      <c r="F34" s="261"/>
      <c r="G34" s="261"/>
      <c r="H34" s="261"/>
      <c r="I34" s="261"/>
      <c r="J34" s="261"/>
      <c r="K34" s="261"/>
      <c r="L34" s="261"/>
      <c r="M34" s="261">
        <v>150000</v>
      </c>
      <c r="N34" s="261"/>
      <c r="O34"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20657861.629999999</v>
      </c>
      <c r="P34" s="252"/>
      <c r="Q34" s="252"/>
      <c r="R34" s="252">
        <v>15574911.09</v>
      </c>
      <c r="S34" s="252">
        <f>+Tabla14[[#This Row],[Presupuesto total]]-Tabla14[[#This Row],[Resevas]]-Tabla14[[#This Row],[Compromisos ]]-Tabla14[[#This Row],[Ejecutado]]</f>
        <v>5082950.5399999991</v>
      </c>
      <c r="T34" s="253" t="s">
        <v>15</v>
      </c>
      <c r="U34" s="253" t="s">
        <v>191</v>
      </c>
      <c r="V34" s="253" t="s">
        <v>192</v>
      </c>
      <c r="W34" s="254" t="s">
        <v>193</v>
      </c>
      <c r="X34" s="255" t="s">
        <v>194</v>
      </c>
      <c r="Y34" s="254" t="s">
        <v>195</v>
      </c>
      <c r="Z34" s="255" t="s">
        <v>196</v>
      </c>
      <c r="AA34" s="259" t="s">
        <v>235</v>
      </c>
      <c r="AB34" s="259"/>
    </row>
    <row r="35" spans="2:28" ht="67.5" x14ac:dyDescent="0.25">
      <c r="B35" s="249" t="s">
        <v>182</v>
      </c>
      <c r="C35" s="260" t="s">
        <v>226</v>
      </c>
      <c r="D35" s="251" t="s">
        <v>236</v>
      </c>
      <c r="E35" s="261">
        <v>1833229.44</v>
      </c>
      <c r="F35" s="261"/>
      <c r="G35" s="261"/>
      <c r="H35" s="261"/>
      <c r="I35" s="261"/>
      <c r="J35" s="261"/>
      <c r="K35" s="261"/>
      <c r="L35" s="261"/>
      <c r="M35" s="261"/>
      <c r="N35" s="261"/>
      <c r="O35"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1833229.44</v>
      </c>
      <c r="P35" s="252"/>
      <c r="Q35" s="252"/>
      <c r="R35" s="252">
        <v>1219876.99</v>
      </c>
      <c r="S35" s="252">
        <f>+Tabla14[[#This Row],[Presupuesto total]]-Tabla14[[#This Row],[Resevas]]-Tabla14[[#This Row],[Compromisos ]]-Tabla14[[#This Row],[Ejecutado]]</f>
        <v>613352.44999999995</v>
      </c>
      <c r="T35" s="253" t="s">
        <v>15</v>
      </c>
      <c r="U35" s="253" t="s">
        <v>185</v>
      </c>
      <c r="V35" s="253" t="s">
        <v>186</v>
      </c>
      <c r="W35" s="254" t="s">
        <v>187</v>
      </c>
      <c r="X35" s="255" t="s">
        <v>188</v>
      </c>
      <c r="Y35" s="254" t="s">
        <v>187</v>
      </c>
      <c r="Z35" s="255" t="s">
        <v>189</v>
      </c>
      <c r="AA35" s="259" t="s">
        <v>237</v>
      </c>
      <c r="AB35" s="259"/>
    </row>
    <row r="36" spans="2:28" ht="67.5" x14ac:dyDescent="0.25">
      <c r="B36" s="249" t="s">
        <v>182</v>
      </c>
      <c r="C36" s="260" t="s">
        <v>226</v>
      </c>
      <c r="D36" s="251" t="s">
        <v>236</v>
      </c>
      <c r="E36" s="261">
        <v>2050786.16</v>
      </c>
      <c r="F36" s="261"/>
      <c r="G36" s="261"/>
      <c r="H36" s="261"/>
      <c r="I36" s="261"/>
      <c r="J36" s="261"/>
      <c r="K36" s="261"/>
      <c r="L36" s="261"/>
      <c r="M36" s="261">
        <v>100000</v>
      </c>
      <c r="N36" s="261"/>
      <c r="O36"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2150786.16</v>
      </c>
      <c r="P36" s="252"/>
      <c r="Q36" s="252"/>
      <c r="R36" s="252">
        <v>1557482.48</v>
      </c>
      <c r="S36" s="252">
        <f>+Tabla14[[#This Row],[Presupuesto total]]-Tabla14[[#This Row],[Resevas]]-Tabla14[[#This Row],[Compromisos ]]-Tabla14[[#This Row],[Ejecutado]]</f>
        <v>593303.68000000017</v>
      </c>
      <c r="T36" s="253" t="s">
        <v>15</v>
      </c>
      <c r="U36" s="253" t="s">
        <v>191</v>
      </c>
      <c r="V36" s="253" t="s">
        <v>192</v>
      </c>
      <c r="W36" s="254" t="s">
        <v>193</v>
      </c>
      <c r="X36" s="255" t="s">
        <v>194</v>
      </c>
      <c r="Y36" s="254" t="s">
        <v>195</v>
      </c>
      <c r="Z36" s="255" t="s">
        <v>196</v>
      </c>
      <c r="AA36" s="259" t="s">
        <v>238</v>
      </c>
      <c r="AB36" s="259"/>
    </row>
    <row r="37" spans="2:28" ht="94.5" x14ac:dyDescent="0.25">
      <c r="B37" s="249" t="s">
        <v>182</v>
      </c>
      <c r="C37" s="260" t="s">
        <v>239</v>
      </c>
      <c r="D37" s="251" t="s">
        <v>240</v>
      </c>
      <c r="E37" s="261">
        <v>19248909.120000001</v>
      </c>
      <c r="F37" s="261"/>
      <c r="G37" s="261"/>
      <c r="H37" s="261"/>
      <c r="I37" s="261"/>
      <c r="J37" s="261"/>
      <c r="K37" s="261"/>
      <c r="L37" s="261"/>
      <c r="M37" s="261"/>
      <c r="N37" s="261"/>
      <c r="O37"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19248909.120000001</v>
      </c>
      <c r="P37" s="252"/>
      <c r="Q37" s="252"/>
      <c r="R37" s="252">
        <v>12807405.57</v>
      </c>
      <c r="S37" s="252">
        <f>+Tabla14[[#This Row],[Presupuesto total]]-Tabla14[[#This Row],[Resevas]]-Tabla14[[#This Row],[Compromisos ]]-Tabla14[[#This Row],[Ejecutado]]</f>
        <v>6441503.5500000007</v>
      </c>
      <c r="T37" s="253" t="s">
        <v>15</v>
      </c>
      <c r="U37" s="253" t="s">
        <v>185</v>
      </c>
      <c r="V37" s="253" t="s">
        <v>186</v>
      </c>
      <c r="W37" s="254" t="s">
        <v>187</v>
      </c>
      <c r="X37" s="255" t="s">
        <v>188</v>
      </c>
      <c r="Y37" s="254" t="s">
        <v>187</v>
      </c>
      <c r="Z37" s="255" t="s">
        <v>189</v>
      </c>
      <c r="AA37" s="259" t="s">
        <v>241</v>
      </c>
      <c r="AB37" s="259"/>
    </row>
    <row r="38" spans="2:28" ht="94.5" x14ac:dyDescent="0.25">
      <c r="B38" s="249" t="s">
        <v>182</v>
      </c>
      <c r="C38" s="260" t="s">
        <v>239</v>
      </c>
      <c r="D38" s="251" t="s">
        <v>240</v>
      </c>
      <c r="E38" s="261">
        <v>21533254.710000001</v>
      </c>
      <c r="F38" s="261"/>
      <c r="G38" s="261"/>
      <c r="H38" s="261"/>
      <c r="I38" s="261"/>
      <c r="J38" s="261"/>
      <c r="K38" s="261"/>
      <c r="L38" s="261"/>
      <c r="M38" s="261"/>
      <c r="N38" s="261"/>
      <c r="O38"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21533254.710000001</v>
      </c>
      <c r="P38" s="252"/>
      <c r="Q38" s="252"/>
      <c r="R38" s="252">
        <v>16197351.25</v>
      </c>
      <c r="S38" s="252">
        <f>+Tabla14[[#This Row],[Presupuesto total]]-Tabla14[[#This Row],[Resevas]]-Tabla14[[#This Row],[Compromisos ]]-Tabla14[[#This Row],[Ejecutado]]</f>
        <v>5335903.4600000009</v>
      </c>
      <c r="T38" s="253" t="s">
        <v>15</v>
      </c>
      <c r="U38" s="253" t="s">
        <v>191</v>
      </c>
      <c r="V38" s="253" t="s">
        <v>192</v>
      </c>
      <c r="W38" s="254" t="s">
        <v>193</v>
      </c>
      <c r="X38" s="255" t="s">
        <v>194</v>
      </c>
      <c r="Y38" s="254" t="s">
        <v>195</v>
      </c>
      <c r="Z38" s="255" t="s">
        <v>196</v>
      </c>
      <c r="AA38" s="259" t="s">
        <v>242</v>
      </c>
      <c r="AB38" s="259"/>
    </row>
    <row r="39" spans="2:28" ht="94.5" x14ac:dyDescent="0.25">
      <c r="B39" s="249" t="s">
        <v>182</v>
      </c>
      <c r="C39" s="260" t="s">
        <v>239</v>
      </c>
      <c r="D39" s="251" t="s">
        <v>243</v>
      </c>
      <c r="E39" s="261">
        <v>5499688.3200000003</v>
      </c>
      <c r="F39" s="261"/>
      <c r="G39" s="261"/>
      <c r="H39" s="261"/>
      <c r="I39" s="261"/>
      <c r="J39" s="261">
        <v>4500000</v>
      </c>
      <c r="K39" s="261"/>
      <c r="L39" s="261"/>
      <c r="M39" s="261"/>
      <c r="N39" s="261"/>
      <c r="O39"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9999688.3200000003</v>
      </c>
      <c r="P39" s="252"/>
      <c r="Q39" s="252"/>
      <c r="R39" s="252">
        <v>7319260.7199999997</v>
      </c>
      <c r="S39" s="252">
        <f>+Tabla14[[#This Row],[Presupuesto total]]-Tabla14[[#This Row],[Resevas]]-Tabla14[[#This Row],[Compromisos ]]-Tabla14[[#This Row],[Ejecutado]]</f>
        <v>2680427.6000000006</v>
      </c>
      <c r="T39" s="253" t="s">
        <v>15</v>
      </c>
      <c r="U39" s="253" t="s">
        <v>185</v>
      </c>
      <c r="V39" s="253" t="s">
        <v>186</v>
      </c>
      <c r="W39" s="254" t="s">
        <v>187</v>
      </c>
      <c r="X39" s="255" t="s">
        <v>188</v>
      </c>
      <c r="Y39" s="254" t="s">
        <v>187</v>
      </c>
      <c r="Z39" s="255" t="s">
        <v>189</v>
      </c>
      <c r="AA39" s="259" t="s">
        <v>244</v>
      </c>
      <c r="AB39" s="259"/>
    </row>
    <row r="40" spans="2:28" ht="94.5" x14ac:dyDescent="0.25">
      <c r="B40" s="249" t="s">
        <v>182</v>
      </c>
      <c r="C40" s="260" t="s">
        <v>239</v>
      </c>
      <c r="D40" s="251" t="s">
        <v>243</v>
      </c>
      <c r="E40" s="261">
        <v>6152358.4900000002</v>
      </c>
      <c r="F40" s="261"/>
      <c r="G40" s="261"/>
      <c r="H40" s="261"/>
      <c r="I40" s="261"/>
      <c r="J40" s="261">
        <v>5630000</v>
      </c>
      <c r="K40" s="261"/>
      <c r="L40" s="261"/>
      <c r="M40" s="261">
        <v>450000</v>
      </c>
      <c r="N40" s="261"/>
      <c r="O40"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12232358.49</v>
      </c>
      <c r="P40" s="252"/>
      <c r="Q40" s="252"/>
      <c r="R40" s="252">
        <v>9170720.6300000008</v>
      </c>
      <c r="S40" s="252">
        <f>+Tabla14[[#This Row],[Presupuesto total]]-Tabla14[[#This Row],[Resevas]]-Tabla14[[#This Row],[Compromisos ]]-Tabla14[[#This Row],[Ejecutado]]</f>
        <v>3061637.8599999994</v>
      </c>
      <c r="T40" s="253" t="s">
        <v>15</v>
      </c>
      <c r="U40" s="253" t="s">
        <v>191</v>
      </c>
      <c r="V40" s="253" t="s">
        <v>192</v>
      </c>
      <c r="W40" s="254" t="s">
        <v>193</v>
      </c>
      <c r="X40" s="255" t="s">
        <v>194</v>
      </c>
      <c r="Y40" s="254" t="s">
        <v>195</v>
      </c>
      <c r="Z40" s="255" t="s">
        <v>196</v>
      </c>
      <c r="AA40" s="259" t="s">
        <v>245</v>
      </c>
      <c r="AB40" s="259"/>
    </row>
    <row r="41" spans="2:28" ht="94.5" x14ac:dyDescent="0.25">
      <c r="B41" s="249" t="s">
        <v>182</v>
      </c>
      <c r="C41" s="260" t="s">
        <v>239</v>
      </c>
      <c r="D41" s="251" t="s">
        <v>246</v>
      </c>
      <c r="E41" s="261">
        <v>5499688.3200000003</v>
      </c>
      <c r="F41" s="261"/>
      <c r="G41" s="261"/>
      <c r="H41" s="261"/>
      <c r="I41" s="261"/>
      <c r="J41" s="261"/>
      <c r="K41" s="261"/>
      <c r="L41" s="261"/>
      <c r="M41" s="261"/>
      <c r="N41" s="261"/>
      <c r="O41"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5499688.3200000003</v>
      </c>
      <c r="P41" s="252"/>
      <c r="Q41" s="252"/>
      <c r="R41" s="252">
        <v>3659630.06</v>
      </c>
      <c r="S41" s="252">
        <f>+Tabla14[[#This Row],[Presupuesto total]]-Tabla14[[#This Row],[Resevas]]-Tabla14[[#This Row],[Compromisos ]]-Tabla14[[#This Row],[Ejecutado]]</f>
        <v>1840058.2600000002</v>
      </c>
      <c r="T41" s="253" t="s">
        <v>15</v>
      </c>
      <c r="U41" s="253" t="s">
        <v>185</v>
      </c>
      <c r="V41" s="253" t="s">
        <v>186</v>
      </c>
      <c r="W41" s="254" t="s">
        <v>187</v>
      </c>
      <c r="X41" s="255" t="s">
        <v>188</v>
      </c>
      <c r="Y41" s="254" t="s">
        <v>187</v>
      </c>
      <c r="Z41" s="255" t="s">
        <v>189</v>
      </c>
      <c r="AA41" s="259" t="s">
        <v>247</v>
      </c>
      <c r="AB41" s="259"/>
    </row>
    <row r="42" spans="2:28" ht="94.5" x14ac:dyDescent="0.25">
      <c r="B42" s="249" t="s">
        <v>182</v>
      </c>
      <c r="C42" s="260" t="s">
        <v>239</v>
      </c>
      <c r="D42" s="251" t="s">
        <v>246</v>
      </c>
      <c r="E42" s="261">
        <v>6152358.4900000002</v>
      </c>
      <c r="F42" s="261"/>
      <c r="G42" s="261"/>
      <c r="H42" s="261"/>
      <c r="I42" s="261"/>
      <c r="J42" s="261"/>
      <c r="K42" s="261"/>
      <c r="L42" s="261"/>
      <c r="M42" s="261">
        <v>250000</v>
      </c>
      <c r="N42" s="261"/>
      <c r="O42"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6402358.4900000002</v>
      </c>
      <c r="P42" s="252"/>
      <c r="Q42" s="252"/>
      <c r="R42" s="252">
        <v>4846694.9400000004</v>
      </c>
      <c r="S42" s="252">
        <f>+Tabla14[[#This Row],[Presupuesto total]]-Tabla14[[#This Row],[Resevas]]-Tabla14[[#This Row],[Compromisos ]]-Tabla14[[#This Row],[Ejecutado]]</f>
        <v>1555663.5499999998</v>
      </c>
      <c r="T42" s="253" t="s">
        <v>15</v>
      </c>
      <c r="U42" s="253" t="s">
        <v>191</v>
      </c>
      <c r="V42" s="253" t="s">
        <v>192</v>
      </c>
      <c r="W42" s="254" t="s">
        <v>193</v>
      </c>
      <c r="X42" s="255" t="s">
        <v>194</v>
      </c>
      <c r="Y42" s="254" t="s">
        <v>195</v>
      </c>
      <c r="Z42" s="255" t="s">
        <v>196</v>
      </c>
      <c r="AA42" s="259" t="s">
        <v>248</v>
      </c>
      <c r="AB42" s="259"/>
    </row>
    <row r="43" spans="2:28" ht="94.5" x14ac:dyDescent="0.25">
      <c r="B43" s="249" t="s">
        <v>182</v>
      </c>
      <c r="C43" s="260" t="s">
        <v>239</v>
      </c>
      <c r="D43" s="251" t="s">
        <v>249</v>
      </c>
      <c r="E43" s="261">
        <v>19542225.829999998</v>
      </c>
      <c r="F43" s="261"/>
      <c r="G43" s="261"/>
      <c r="H43" s="261"/>
      <c r="I43" s="261"/>
      <c r="J43" s="261"/>
      <c r="K43" s="261"/>
      <c r="L43" s="261"/>
      <c r="M43" s="261"/>
      <c r="N43" s="261"/>
      <c r="O43"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19542225.829999998</v>
      </c>
      <c r="P43" s="252"/>
      <c r="Q43" s="252"/>
      <c r="R43" s="252">
        <v>11890673.970000001</v>
      </c>
      <c r="S43" s="252">
        <f>+Tabla14[[#This Row],[Presupuesto total]]-Tabla14[[#This Row],[Resevas]]-Tabla14[[#This Row],[Compromisos ]]-Tabla14[[#This Row],[Ejecutado]]</f>
        <v>7651551.8599999975</v>
      </c>
      <c r="T43" s="253" t="s">
        <v>15</v>
      </c>
      <c r="U43" s="253" t="s">
        <v>185</v>
      </c>
      <c r="V43" s="253" t="s">
        <v>186</v>
      </c>
      <c r="W43" s="254" t="s">
        <v>187</v>
      </c>
      <c r="X43" s="255" t="s">
        <v>188</v>
      </c>
      <c r="Y43" s="254" t="s">
        <v>187</v>
      </c>
      <c r="Z43" s="255" t="s">
        <v>189</v>
      </c>
      <c r="AA43" s="259" t="s">
        <v>250</v>
      </c>
      <c r="AB43" s="259"/>
    </row>
    <row r="44" spans="2:28" ht="94.5" x14ac:dyDescent="0.25">
      <c r="B44" s="249" t="s">
        <v>182</v>
      </c>
      <c r="C44" s="260" t="s">
        <v>239</v>
      </c>
      <c r="D44" s="251" t="s">
        <v>249</v>
      </c>
      <c r="E44" s="261">
        <v>21861380.5</v>
      </c>
      <c r="F44" s="261"/>
      <c r="G44" s="261"/>
      <c r="H44" s="261"/>
      <c r="I44" s="261"/>
      <c r="J44" s="261"/>
      <c r="K44" s="261"/>
      <c r="L44" s="261"/>
      <c r="M44" s="261"/>
      <c r="N44" s="261"/>
      <c r="O44"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21861380.5</v>
      </c>
      <c r="P44" s="252"/>
      <c r="Q44" s="252"/>
      <c r="R44" s="252">
        <v>14518806.85</v>
      </c>
      <c r="S44" s="252">
        <f>+Tabla14[[#This Row],[Presupuesto total]]-Tabla14[[#This Row],[Resevas]]-Tabla14[[#This Row],[Compromisos ]]-Tabla14[[#This Row],[Ejecutado]]</f>
        <v>7342573.6500000004</v>
      </c>
      <c r="T44" s="253" t="s">
        <v>15</v>
      </c>
      <c r="U44" s="253" t="s">
        <v>191</v>
      </c>
      <c r="V44" s="253" t="s">
        <v>192</v>
      </c>
      <c r="W44" s="254" t="s">
        <v>193</v>
      </c>
      <c r="X44" s="255" t="s">
        <v>194</v>
      </c>
      <c r="Y44" s="254" t="s">
        <v>195</v>
      </c>
      <c r="Z44" s="255" t="s">
        <v>196</v>
      </c>
      <c r="AA44" s="259" t="s">
        <v>251</v>
      </c>
      <c r="AB44" s="259"/>
    </row>
    <row r="45" spans="2:28" ht="67.5" x14ac:dyDescent="0.25">
      <c r="B45" s="255" t="s">
        <v>252</v>
      </c>
      <c r="C45" s="256" t="s">
        <v>253</v>
      </c>
      <c r="D45" s="255" t="s">
        <v>254</v>
      </c>
      <c r="E45" s="252">
        <f>211310+600000</f>
        <v>811310</v>
      </c>
      <c r="F45" s="252"/>
      <c r="G45" s="252"/>
      <c r="H45" s="252"/>
      <c r="I45" s="252"/>
      <c r="J45" s="252"/>
      <c r="K45" s="252"/>
      <c r="L45" s="252"/>
      <c r="M45" s="252"/>
      <c r="N45" s="252"/>
      <c r="O45"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811310</v>
      </c>
      <c r="P45" s="252">
        <v>78683.03</v>
      </c>
      <c r="Q45" s="252">
        <v>0</v>
      </c>
      <c r="R45" s="252">
        <v>87990.84</v>
      </c>
      <c r="S45" s="252">
        <f>+Tabla14[[#This Row],[Presupuesto total]]-Tabla14[[#This Row],[Resevas]]-Tabla14[[#This Row],[Compromisos ]]-Tabla14[[#This Row],[Ejecutado]]</f>
        <v>644636.13</v>
      </c>
      <c r="T45" s="257" t="s">
        <v>15</v>
      </c>
      <c r="U45" s="253" t="s">
        <v>191</v>
      </c>
      <c r="V45" s="253" t="s">
        <v>255</v>
      </c>
      <c r="W45" s="254" t="s">
        <v>256</v>
      </c>
      <c r="X45" s="254" t="s">
        <v>257</v>
      </c>
      <c r="Y45" s="254" t="s">
        <v>256</v>
      </c>
      <c r="Z45" s="254" t="s">
        <v>258</v>
      </c>
      <c r="AA45" s="255" t="s">
        <v>259</v>
      </c>
      <c r="AB45" s="255"/>
    </row>
    <row r="46" spans="2:28" ht="54" x14ac:dyDescent="0.25">
      <c r="B46" s="254" t="s">
        <v>252</v>
      </c>
      <c r="C46" s="256" t="s">
        <v>260</v>
      </c>
      <c r="D46" s="255" t="s">
        <v>261</v>
      </c>
      <c r="E46" s="252">
        <v>1656000</v>
      </c>
      <c r="F46" s="252"/>
      <c r="G46" s="252"/>
      <c r="H46" s="252"/>
      <c r="I46" s="252"/>
      <c r="J46" s="252"/>
      <c r="K46" s="252"/>
      <c r="L46" s="252"/>
      <c r="M46" s="252">
        <v>-385917.6</v>
      </c>
      <c r="N46" s="252"/>
      <c r="O46"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1270082.3999999999</v>
      </c>
      <c r="P46" s="252">
        <v>275914</v>
      </c>
      <c r="Q46" s="252">
        <v>0</v>
      </c>
      <c r="R46" s="252">
        <v>84282</v>
      </c>
      <c r="S46" s="252">
        <f>+Tabla14[[#This Row],[Presupuesto total]]-Tabla14[[#This Row],[Resevas]]-Tabla14[[#This Row],[Compromisos ]]-Tabla14[[#This Row],[Ejecutado]]</f>
        <v>909886.39999999991</v>
      </c>
      <c r="T46" s="257" t="s">
        <v>15</v>
      </c>
      <c r="U46" s="253" t="s">
        <v>191</v>
      </c>
      <c r="V46" s="253" t="s">
        <v>262</v>
      </c>
      <c r="W46" s="254" t="s">
        <v>263</v>
      </c>
      <c r="X46" s="254" t="s">
        <v>264</v>
      </c>
      <c r="Y46" s="254" t="s">
        <v>263</v>
      </c>
      <c r="Z46" s="254" t="s">
        <v>265</v>
      </c>
      <c r="AA46" s="255" t="s">
        <v>266</v>
      </c>
      <c r="AB46" s="254"/>
    </row>
    <row r="47" spans="2:28" ht="54" x14ac:dyDescent="0.25">
      <c r="B47" s="254" t="s">
        <v>252</v>
      </c>
      <c r="C47" s="256" t="s">
        <v>260</v>
      </c>
      <c r="D47" s="255" t="s">
        <v>267</v>
      </c>
      <c r="E47" s="252">
        <v>6000000</v>
      </c>
      <c r="F47" s="252"/>
      <c r="G47" s="252"/>
      <c r="H47" s="252"/>
      <c r="I47" s="252"/>
      <c r="J47" s="252"/>
      <c r="K47" s="252"/>
      <c r="L47" s="252"/>
      <c r="M47" s="252"/>
      <c r="N47" s="252"/>
      <c r="O47"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6000000</v>
      </c>
      <c r="P47" s="252">
        <v>2440905</v>
      </c>
      <c r="Q47" s="252">
        <v>0</v>
      </c>
      <c r="R47" s="252">
        <v>3318660</v>
      </c>
      <c r="S47" s="252">
        <f>+Tabla14[[#This Row],[Presupuesto total]]-Tabla14[[#This Row],[Resevas]]-Tabla14[[#This Row],[Compromisos ]]-Tabla14[[#This Row],[Ejecutado]]</f>
        <v>240435</v>
      </c>
      <c r="T47" s="257" t="s">
        <v>15</v>
      </c>
      <c r="U47" s="253" t="s">
        <v>191</v>
      </c>
      <c r="V47" s="253" t="s">
        <v>262</v>
      </c>
      <c r="W47" s="254" t="s">
        <v>263</v>
      </c>
      <c r="X47" s="254" t="s">
        <v>264</v>
      </c>
      <c r="Y47" s="254" t="s">
        <v>263</v>
      </c>
      <c r="Z47" s="254" t="s">
        <v>265</v>
      </c>
      <c r="AA47" s="255" t="s">
        <v>268</v>
      </c>
      <c r="AB47" s="254"/>
    </row>
    <row r="48" spans="2:28" ht="54" x14ac:dyDescent="0.25">
      <c r="B48" s="254" t="s">
        <v>252</v>
      </c>
      <c r="C48" s="256" t="s">
        <v>260</v>
      </c>
      <c r="D48" s="255" t="s">
        <v>269</v>
      </c>
      <c r="E48" s="252">
        <v>25000</v>
      </c>
      <c r="F48" s="252"/>
      <c r="G48" s="252"/>
      <c r="H48" s="252"/>
      <c r="I48" s="252"/>
      <c r="J48" s="252"/>
      <c r="K48" s="252"/>
      <c r="L48" s="252"/>
      <c r="M48" s="252"/>
      <c r="N48" s="252"/>
      <c r="O48"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25000</v>
      </c>
      <c r="P48" s="252">
        <v>6072</v>
      </c>
      <c r="Q48" s="252">
        <v>0</v>
      </c>
      <c r="R48" s="252">
        <v>18928</v>
      </c>
      <c r="S48" s="252">
        <f>+Tabla14[[#This Row],[Presupuesto total]]-Tabla14[[#This Row],[Resevas]]-Tabla14[[#This Row],[Compromisos ]]-Tabla14[[#This Row],[Ejecutado]]</f>
        <v>0</v>
      </c>
      <c r="T48" s="257" t="s">
        <v>15</v>
      </c>
      <c r="U48" s="253" t="s">
        <v>191</v>
      </c>
      <c r="V48" s="253" t="s">
        <v>262</v>
      </c>
      <c r="W48" s="254" t="s">
        <v>263</v>
      </c>
      <c r="X48" s="254" t="s">
        <v>264</v>
      </c>
      <c r="Y48" s="254" t="s">
        <v>263</v>
      </c>
      <c r="Z48" s="254" t="s">
        <v>265</v>
      </c>
      <c r="AA48" s="255" t="s">
        <v>270</v>
      </c>
      <c r="AB48" s="254"/>
    </row>
    <row r="49" spans="2:28" ht="54" x14ac:dyDescent="0.25">
      <c r="B49" s="254" t="s">
        <v>252</v>
      </c>
      <c r="C49" s="256" t="s">
        <v>260</v>
      </c>
      <c r="D49" s="255" t="s">
        <v>271</v>
      </c>
      <c r="E49" s="252">
        <v>5330356.4400000004</v>
      </c>
      <c r="F49" s="252"/>
      <c r="G49" s="252"/>
      <c r="H49" s="252"/>
      <c r="I49" s="252"/>
      <c r="J49" s="252"/>
      <c r="K49" s="252"/>
      <c r="L49" s="252"/>
      <c r="M49" s="252"/>
      <c r="N49" s="252">
        <v>-595357.31000000006</v>
      </c>
      <c r="O49"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4734999.1300000008</v>
      </c>
      <c r="P49" s="252">
        <v>1779516.06</v>
      </c>
      <c r="Q49" s="252">
        <v>0</v>
      </c>
      <c r="R49" s="252">
        <v>2643499.12</v>
      </c>
      <c r="S49" s="252">
        <f>+Tabla14[[#This Row],[Presupuesto total]]-Tabla14[[#This Row],[Resevas]]-Tabla14[[#This Row],[Compromisos ]]-Tabla14[[#This Row],[Ejecutado]]</f>
        <v>311983.95000000065</v>
      </c>
      <c r="T49" s="257" t="s">
        <v>15</v>
      </c>
      <c r="U49" s="253" t="s">
        <v>191</v>
      </c>
      <c r="V49" s="253" t="s">
        <v>262</v>
      </c>
      <c r="W49" s="254" t="s">
        <v>263</v>
      </c>
      <c r="X49" s="254" t="s">
        <v>264</v>
      </c>
      <c r="Y49" s="254" t="s">
        <v>263</v>
      </c>
      <c r="Z49" s="254" t="s">
        <v>265</v>
      </c>
      <c r="AA49" s="255" t="s">
        <v>272</v>
      </c>
      <c r="AB49" s="254"/>
    </row>
    <row r="50" spans="2:28" ht="47.25" customHeight="1" x14ac:dyDescent="0.25">
      <c r="B50" s="249" t="s">
        <v>252</v>
      </c>
      <c r="C50" s="256" t="s">
        <v>260</v>
      </c>
      <c r="D50" s="255" t="s">
        <v>271</v>
      </c>
      <c r="E50" s="261">
        <v>4269643.5599999996</v>
      </c>
      <c r="F50" s="261"/>
      <c r="G50" s="261"/>
      <c r="H50" s="261"/>
      <c r="I50" s="261"/>
      <c r="J50" s="261"/>
      <c r="K50" s="261"/>
      <c r="L50" s="261"/>
      <c r="M50" s="261"/>
      <c r="N50" s="261">
        <v>595357.31000000006</v>
      </c>
      <c r="O50"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4865000.8699999992</v>
      </c>
      <c r="P50" s="252">
        <v>0</v>
      </c>
      <c r="Q50" s="252">
        <v>1621133.05</v>
      </c>
      <c r="R50" s="252">
        <v>3243867.82</v>
      </c>
      <c r="S50" s="252">
        <f>+Tabla14[[#This Row],[Presupuesto total]]-Tabla14[[#This Row],[Resevas]]-Tabla14[[#This Row],[Compromisos ]]-Tabla14[[#This Row],[Ejecutado]]</f>
        <v>0</v>
      </c>
      <c r="T50" s="257" t="s">
        <v>15</v>
      </c>
      <c r="U50" s="253" t="s">
        <v>191</v>
      </c>
      <c r="V50" s="253" t="s">
        <v>255</v>
      </c>
      <c r="W50" s="254" t="s">
        <v>256</v>
      </c>
      <c r="X50" s="254" t="s">
        <v>257</v>
      </c>
      <c r="Y50" s="254" t="s">
        <v>256</v>
      </c>
      <c r="Z50" s="254" t="s">
        <v>258</v>
      </c>
      <c r="AA50" s="255" t="s">
        <v>273</v>
      </c>
      <c r="AB50" s="254"/>
    </row>
    <row r="51" spans="2:28" ht="54" x14ac:dyDescent="0.25">
      <c r="B51" s="254" t="s">
        <v>252</v>
      </c>
      <c r="C51" s="256" t="s">
        <v>260</v>
      </c>
      <c r="D51" s="255" t="s">
        <v>274</v>
      </c>
      <c r="E51" s="252">
        <v>920000</v>
      </c>
      <c r="F51" s="252"/>
      <c r="G51" s="252"/>
      <c r="H51" s="252"/>
      <c r="I51" s="252"/>
      <c r="J51" s="252"/>
      <c r="K51" s="252"/>
      <c r="L51" s="252"/>
      <c r="M51" s="252"/>
      <c r="N51" s="252"/>
      <c r="O51"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920000</v>
      </c>
      <c r="P51" s="252">
        <v>251903.9</v>
      </c>
      <c r="Q51" s="252">
        <v>0</v>
      </c>
      <c r="R51" s="252">
        <v>668096.1</v>
      </c>
      <c r="S51" s="252">
        <f>+Tabla14[[#This Row],[Presupuesto total]]-Tabla14[[#This Row],[Resevas]]-Tabla14[[#This Row],[Compromisos ]]-Tabla14[[#This Row],[Ejecutado]]</f>
        <v>0</v>
      </c>
      <c r="T51" s="257" t="s">
        <v>15</v>
      </c>
      <c r="U51" s="253" t="s">
        <v>191</v>
      </c>
      <c r="V51" s="253" t="s">
        <v>262</v>
      </c>
      <c r="W51" s="254" t="s">
        <v>263</v>
      </c>
      <c r="X51" s="254" t="s">
        <v>264</v>
      </c>
      <c r="Y51" s="254" t="s">
        <v>263</v>
      </c>
      <c r="Z51" s="254" t="s">
        <v>265</v>
      </c>
      <c r="AA51" s="255" t="s">
        <v>275</v>
      </c>
      <c r="AB51" s="254"/>
    </row>
    <row r="52" spans="2:28" ht="40.5" x14ac:dyDescent="0.25">
      <c r="B52" s="254" t="s">
        <v>252</v>
      </c>
      <c r="C52" s="262" t="s">
        <v>276</v>
      </c>
      <c r="D52" s="255" t="s">
        <v>277</v>
      </c>
      <c r="E52" s="252">
        <v>0</v>
      </c>
      <c r="F52" s="252"/>
      <c r="G52" s="252"/>
      <c r="H52" s="252"/>
      <c r="I52" s="252">
        <v>506000</v>
      </c>
      <c r="J52" s="252"/>
      <c r="K52" s="252"/>
      <c r="L52" s="252"/>
      <c r="M52" s="252"/>
      <c r="N52" s="252"/>
      <c r="O52"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506000</v>
      </c>
      <c r="P52" s="252">
        <v>0</v>
      </c>
      <c r="Q52" s="252">
        <v>0</v>
      </c>
      <c r="R52" s="252">
        <v>0</v>
      </c>
      <c r="S52" s="252">
        <f>+Tabla14[[#This Row],[Presupuesto total]]-Tabla14[[#This Row],[Resevas]]-Tabla14[[#This Row],[Compromisos ]]-Tabla14[[#This Row],[Ejecutado]]</f>
        <v>506000</v>
      </c>
      <c r="T52" s="257" t="s">
        <v>15</v>
      </c>
      <c r="U52" s="253" t="s">
        <v>191</v>
      </c>
      <c r="V52" s="253" t="s">
        <v>204</v>
      </c>
      <c r="W52" s="254" t="s">
        <v>205</v>
      </c>
      <c r="X52" s="254" t="s">
        <v>206</v>
      </c>
      <c r="Y52" s="258" t="s">
        <v>205</v>
      </c>
      <c r="Z52" s="254" t="s">
        <v>207</v>
      </c>
      <c r="AA52" s="255" t="s">
        <v>278</v>
      </c>
      <c r="AB52" s="254"/>
    </row>
    <row r="53" spans="2:28" ht="40.5" x14ac:dyDescent="0.25">
      <c r="B53" s="254" t="s">
        <v>252</v>
      </c>
      <c r="C53" s="262" t="s">
        <v>276</v>
      </c>
      <c r="D53" s="255" t="s">
        <v>277</v>
      </c>
      <c r="E53" s="252">
        <v>0</v>
      </c>
      <c r="F53" s="252"/>
      <c r="G53" s="252"/>
      <c r="H53" s="252"/>
      <c r="I53" s="252">
        <v>220000</v>
      </c>
      <c r="J53" s="252"/>
      <c r="K53" s="252"/>
      <c r="L53" s="252"/>
      <c r="M53" s="252"/>
      <c r="N53" s="252"/>
      <c r="O53"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220000</v>
      </c>
      <c r="P53" s="252">
        <v>0</v>
      </c>
      <c r="Q53" s="252">
        <v>0</v>
      </c>
      <c r="R53" s="252">
        <v>0</v>
      </c>
      <c r="S53" s="252">
        <f>+Tabla14[[#This Row],[Presupuesto total]]-Tabla14[[#This Row],[Resevas]]-Tabla14[[#This Row],[Compromisos ]]-Tabla14[[#This Row],[Ejecutado]]</f>
        <v>220000</v>
      </c>
      <c r="T53" s="257" t="s">
        <v>15</v>
      </c>
      <c r="U53" s="253" t="s">
        <v>191</v>
      </c>
      <c r="V53" s="253" t="s">
        <v>279</v>
      </c>
      <c r="W53" s="254" t="s">
        <v>280</v>
      </c>
      <c r="X53" s="254" t="s">
        <v>281</v>
      </c>
      <c r="Y53" s="254" t="s">
        <v>282</v>
      </c>
      <c r="Z53" s="254" t="s">
        <v>283</v>
      </c>
      <c r="AA53" s="255" t="s">
        <v>284</v>
      </c>
      <c r="AB53" s="254"/>
    </row>
    <row r="54" spans="2:28" ht="94.5" x14ac:dyDescent="0.25">
      <c r="B54" s="254" t="s">
        <v>252</v>
      </c>
      <c r="C54" s="256" t="s">
        <v>276</v>
      </c>
      <c r="D54" s="255" t="s">
        <v>285</v>
      </c>
      <c r="E54" s="252">
        <v>50000</v>
      </c>
      <c r="F54" s="252"/>
      <c r="G54" s="252"/>
      <c r="H54" s="252"/>
      <c r="I54" s="252"/>
      <c r="J54" s="252"/>
      <c r="K54" s="252"/>
      <c r="L54" s="252"/>
      <c r="M54" s="252">
        <v>50000</v>
      </c>
      <c r="N54" s="252"/>
      <c r="O54"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100000</v>
      </c>
      <c r="P54" s="252">
        <v>100000</v>
      </c>
      <c r="Q54" s="252">
        <v>0</v>
      </c>
      <c r="R54" s="252">
        <v>0</v>
      </c>
      <c r="S54" s="252">
        <f>+Tabla14[[#This Row],[Presupuesto total]]-Tabla14[[#This Row],[Resevas]]-Tabla14[[#This Row],[Compromisos ]]-Tabla14[[#This Row],[Ejecutado]]</f>
        <v>0</v>
      </c>
      <c r="T54" s="257" t="s">
        <v>15</v>
      </c>
      <c r="U54" s="253" t="s">
        <v>191</v>
      </c>
      <c r="V54" s="253" t="s">
        <v>279</v>
      </c>
      <c r="W54" s="254" t="s">
        <v>280</v>
      </c>
      <c r="X54" s="254" t="s">
        <v>281</v>
      </c>
      <c r="Y54" s="254" t="s">
        <v>282</v>
      </c>
      <c r="Z54" s="254" t="s">
        <v>283</v>
      </c>
      <c r="AA54" s="254" t="s">
        <v>286</v>
      </c>
      <c r="AB54" s="254" t="s">
        <v>287</v>
      </c>
    </row>
    <row r="55" spans="2:28" ht="27" x14ac:dyDescent="0.25">
      <c r="B55" s="254" t="s">
        <v>252</v>
      </c>
      <c r="C55" s="256" t="s">
        <v>276</v>
      </c>
      <c r="D55" s="255" t="s">
        <v>285</v>
      </c>
      <c r="E55" s="252">
        <v>60000</v>
      </c>
      <c r="F55" s="252"/>
      <c r="G55" s="252"/>
      <c r="H55" s="252"/>
      <c r="I55" s="252"/>
      <c r="J55" s="252"/>
      <c r="K55" s="252"/>
      <c r="L55" s="252"/>
      <c r="M55" s="252">
        <v>120000</v>
      </c>
      <c r="N55" s="252"/>
      <c r="O55"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180000</v>
      </c>
      <c r="P55" s="252">
        <v>135365</v>
      </c>
      <c r="Q55" s="252"/>
      <c r="R55" s="252">
        <v>44635</v>
      </c>
      <c r="S55" s="252">
        <f>+Tabla14[[#This Row],[Presupuesto total]]-Tabla14[[#This Row],[Resevas]]-Tabla14[[#This Row],[Compromisos ]]-Tabla14[[#This Row],[Ejecutado]]</f>
        <v>0</v>
      </c>
      <c r="T55" s="257" t="s">
        <v>15</v>
      </c>
      <c r="U55" s="253" t="s">
        <v>191</v>
      </c>
      <c r="V55" s="253" t="s">
        <v>204</v>
      </c>
      <c r="W55" s="254" t="s">
        <v>205</v>
      </c>
      <c r="X55" s="254" t="s">
        <v>206</v>
      </c>
      <c r="Y55" s="258" t="s">
        <v>205</v>
      </c>
      <c r="Z55" s="254" t="s">
        <v>207</v>
      </c>
      <c r="AA55" s="255" t="s">
        <v>288</v>
      </c>
      <c r="AB55" s="254"/>
    </row>
    <row r="56" spans="2:28" ht="54" x14ac:dyDescent="0.25">
      <c r="B56" s="254" t="s">
        <v>252</v>
      </c>
      <c r="C56" s="256" t="s">
        <v>276</v>
      </c>
      <c r="D56" s="255" t="s">
        <v>289</v>
      </c>
      <c r="E56" s="252">
        <v>2760000</v>
      </c>
      <c r="F56" s="252"/>
      <c r="G56" s="252"/>
      <c r="H56" s="252"/>
      <c r="I56" s="252">
        <v>176000</v>
      </c>
      <c r="J56" s="252"/>
      <c r="K56" s="252"/>
      <c r="L56" s="252"/>
      <c r="M56" s="252"/>
      <c r="N56" s="252"/>
      <c r="O56"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2936000</v>
      </c>
      <c r="P56" s="252">
        <v>754943.09</v>
      </c>
      <c r="Q56" s="252">
        <v>0</v>
      </c>
      <c r="R56" s="252">
        <v>2005056.91</v>
      </c>
      <c r="S56" s="252">
        <f>+Tabla14[[#This Row],[Presupuesto total]]-Tabla14[[#This Row],[Resevas]]-Tabla14[[#This Row],[Compromisos ]]-Tabla14[[#This Row],[Ejecutado]]</f>
        <v>176000.00000000023</v>
      </c>
      <c r="T56" s="257" t="s">
        <v>15</v>
      </c>
      <c r="U56" s="253" t="s">
        <v>191</v>
      </c>
      <c r="V56" s="253" t="s">
        <v>262</v>
      </c>
      <c r="W56" s="254" t="s">
        <v>263</v>
      </c>
      <c r="X56" s="254" t="s">
        <v>264</v>
      </c>
      <c r="Y56" s="254" t="s">
        <v>263</v>
      </c>
      <c r="Z56" s="254" t="s">
        <v>265</v>
      </c>
      <c r="AA56" s="255" t="s">
        <v>290</v>
      </c>
      <c r="AB56" s="254"/>
    </row>
    <row r="57" spans="2:28" ht="40.5" x14ac:dyDescent="0.25">
      <c r="B57" s="254" t="s">
        <v>252</v>
      </c>
      <c r="C57" s="256" t="s">
        <v>276</v>
      </c>
      <c r="D57" s="255" t="s">
        <v>289</v>
      </c>
      <c r="E57" s="252"/>
      <c r="F57" s="252"/>
      <c r="G57" s="252"/>
      <c r="H57" s="252"/>
      <c r="I57" s="252"/>
      <c r="J57" s="252">
        <v>23750</v>
      </c>
      <c r="K57" s="252"/>
      <c r="L57" s="252"/>
      <c r="M57" s="252"/>
      <c r="N57" s="252"/>
      <c r="O57"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23750</v>
      </c>
      <c r="P57" s="252"/>
      <c r="Q57" s="252"/>
      <c r="R57" s="252"/>
      <c r="S57" s="252">
        <f>+Tabla14[[#This Row],[Presupuesto total]]-Tabla14[[#This Row],[Resevas]]-Tabla14[[#This Row],[Compromisos ]]-Tabla14[[#This Row],[Ejecutado]]</f>
        <v>23750</v>
      </c>
      <c r="T57" s="253" t="s">
        <v>15</v>
      </c>
      <c r="U57" s="253" t="s">
        <v>185</v>
      </c>
      <c r="V57" s="253" t="s">
        <v>291</v>
      </c>
      <c r="W57" s="254" t="s">
        <v>292</v>
      </c>
      <c r="X57" s="254" t="s">
        <v>293</v>
      </c>
      <c r="Y57" s="254" t="s">
        <v>292</v>
      </c>
      <c r="Z57" s="254" t="s">
        <v>294</v>
      </c>
      <c r="AA57" s="255" t="s">
        <v>295</v>
      </c>
      <c r="AB57" s="254"/>
    </row>
    <row r="58" spans="2:28" ht="54" x14ac:dyDescent="0.25">
      <c r="B58" s="255" t="s">
        <v>252</v>
      </c>
      <c r="C58" s="256" t="s">
        <v>276</v>
      </c>
      <c r="D58" s="255" t="s">
        <v>296</v>
      </c>
      <c r="E58" s="252">
        <v>380000</v>
      </c>
      <c r="F58" s="252"/>
      <c r="G58" s="252"/>
      <c r="H58" s="252"/>
      <c r="I58" s="252"/>
      <c r="J58" s="252"/>
      <c r="K58" s="252"/>
      <c r="L58" s="252"/>
      <c r="M58" s="252">
        <v>120000</v>
      </c>
      <c r="N58" s="252"/>
      <c r="O58"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500000</v>
      </c>
      <c r="P58" s="252">
        <v>94749.91</v>
      </c>
      <c r="Q58" s="252">
        <v>0</v>
      </c>
      <c r="R58" s="252">
        <v>405250.09</v>
      </c>
      <c r="S58" s="252">
        <f>+Tabla14[[#This Row],[Presupuesto total]]-Tabla14[[#This Row],[Resevas]]-Tabla14[[#This Row],[Compromisos ]]-Tabla14[[#This Row],[Ejecutado]]</f>
        <v>0</v>
      </c>
      <c r="T58" s="257" t="s">
        <v>15</v>
      </c>
      <c r="U58" s="253" t="s">
        <v>191</v>
      </c>
      <c r="V58" s="253" t="s">
        <v>255</v>
      </c>
      <c r="W58" s="254" t="s">
        <v>256</v>
      </c>
      <c r="X58" s="254" t="s">
        <v>257</v>
      </c>
      <c r="Y58" s="254" t="s">
        <v>256</v>
      </c>
      <c r="Z58" s="254" t="s">
        <v>258</v>
      </c>
      <c r="AA58" s="255" t="s">
        <v>297</v>
      </c>
      <c r="AB58" s="255"/>
    </row>
    <row r="59" spans="2:28" ht="54" x14ac:dyDescent="0.25">
      <c r="B59" s="254" t="s">
        <v>252</v>
      </c>
      <c r="C59" s="256" t="s">
        <v>298</v>
      </c>
      <c r="D59" s="255" t="s">
        <v>299</v>
      </c>
      <c r="E59" s="252">
        <v>0</v>
      </c>
      <c r="F59" s="252">
        <v>1050000</v>
      </c>
      <c r="G59" s="252"/>
      <c r="H59" s="252"/>
      <c r="I59" s="252"/>
      <c r="J59" s="252"/>
      <c r="K59" s="252"/>
      <c r="L59" s="252"/>
      <c r="M59" s="252"/>
      <c r="N59" s="252"/>
      <c r="O59"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1050000</v>
      </c>
      <c r="P59" s="252">
        <v>0</v>
      </c>
      <c r="Q59" s="252">
        <v>364465.91999999998</v>
      </c>
      <c r="R59" s="252">
        <v>683373.6</v>
      </c>
      <c r="S59" s="252">
        <f>+Tabla14[[#This Row],[Presupuesto total]]-Tabla14[[#This Row],[Resevas]]-Tabla14[[#This Row],[Compromisos ]]-Tabla14[[#This Row],[Ejecutado]]</f>
        <v>2160.4800000000978</v>
      </c>
      <c r="T59" s="257" t="s">
        <v>15</v>
      </c>
      <c r="U59" s="253" t="s">
        <v>191</v>
      </c>
      <c r="V59" s="253" t="s">
        <v>255</v>
      </c>
      <c r="W59" s="254" t="s">
        <v>300</v>
      </c>
      <c r="X59" s="254" t="s">
        <v>301</v>
      </c>
      <c r="Y59" s="254" t="s">
        <v>300</v>
      </c>
      <c r="Z59" s="249" t="s">
        <v>311</v>
      </c>
      <c r="AA59" s="255" t="s">
        <v>302</v>
      </c>
      <c r="AB59" s="254"/>
    </row>
    <row r="60" spans="2:28" ht="40.5" x14ac:dyDescent="0.25">
      <c r="B60" s="254" t="s">
        <v>252</v>
      </c>
      <c r="C60" s="256" t="s">
        <v>298</v>
      </c>
      <c r="D60" s="255" t="s">
        <v>303</v>
      </c>
      <c r="E60" s="252">
        <v>0</v>
      </c>
      <c r="F60" s="252"/>
      <c r="G60" s="252"/>
      <c r="H60" s="252"/>
      <c r="I60" s="252">
        <v>225000</v>
      </c>
      <c r="J60" s="252"/>
      <c r="K60" s="252"/>
      <c r="L60" s="252"/>
      <c r="M60" s="252"/>
      <c r="N60" s="252"/>
      <c r="O60"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225000</v>
      </c>
      <c r="P60" s="252">
        <v>225000</v>
      </c>
      <c r="Q60" s="252">
        <v>0</v>
      </c>
      <c r="R60" s="252">
        <v>0</v>
      </c>
      <c r="S60" s="252">
        <f>+Tabla14[[#This Row],[Presupuesto total]]-Tabla14[[#This Row],[Resevas]]-Tabla14[[#This Row],[Compromisos ]]-Tabla14[[#This Row],[Ejecutado]]</f>
        <v>0</v>
      </c>
      <c r="T60" s="257" t="s">
        <v>15</v>
      </c>
      <c r="U60" s="253" t="s">
        <v>191</v>
      </c>
      <c r="V60" s="253"/>
      <c r="W60" s="254" t="s">
        <v>263</v>
      </c>
      <c r="X60" s="254" t="s">
        <v>264</v>
      </c>
      <c r="Y60" s="254" t="s">
        <v>263</v>
      </c>
      <c r="Z60" s="254" t="s">
        <v>265</v>
      </c>
      <c r="AA60" s="254" t="s">
        <v>304</v>
      </c>
      <c r="AB60" s="254"/>
    </row>
    <row r="61" spans="2:28" ht="53.25" customHeight="1" x14ac:dyDescent="0.25">
      <c r="B61" s="254" t="s">
        <v>252</v>
      </c>
      <c r="C61" s="256" t="s">
        <v>298</v>
      </c>
      <c r="D61" s="255" t="s">
        <v>305</v>
      </c>
      <c r="E61" s="252">
        <v>0</v>
      </c>
      <c r="F61" s="252"/>
      <c r="G61" s="252"/>
      <c r="H61" s="252"/>
      <c r="I61" s="252">
        <v>10000000</v>
      </c>
      <c r="J61" s="252"/>
      <c r="K61" s="252"/>
      <c r="L61" s="252"/>
      <c r="M61" s="252"/>
      <c r="N61" s="252"/>
      <c r="O61"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10000000</v>
      </c>
      <c r="P61" s="252"/>
      <c r="Q61" s="252">
        <v>0</v>
      </c>
      <c r="R61" s="252">
        <v>0</v>
      </c>
      <c r="S61" s="252">
        <f>+Tabla14[[#This Row],[Presupuesto total]]-Tabla14[[#This Row],[Resevas]]-Tabla14[[#This Row],[Compromisos ]]-Tabla14[[#This Row],[Ejecutado]]</f>
        <v>10000000</v>
      </c>
      <c r="T61" s="257" t="s">
        <v>15</v>
      </c>
      <c r="U61" s="253" t="s">
        <v>191</v>
      </c>
      <c r="V61" s="253"/>
      <c r="W61" s="254" t="s">
        <v>205</v>
      </c>
      <c r="X61" s="254" t="s">
        <v>206</v>
      </c>
      <c r="Y61" s="258" t="s">
        <v>205</v>
      </c>
      <c r="Z61" s="254" t="s">
        <v>207</v>
      </c>
      <c r="AA61" s="255" t="s">
        <v>306</v>
      </c>
      <c r="AB61" s="254"/>
    </row>
    <row r="62" spans="2:28" ht="53.25" customHeight="1" x14ac:dyDescent="0.25">
      <c r="B62" s="254" t="s">
        <v>252</v>
      </c>
      <c r="C62" s="256" t="s">
        <v>298</v>
      </c>
      <c r="D62" s="255" t="s">
        <v>305</v>
      </c>
      <c r="E62" s="252">
        <v>0</v>
      </c>
      <c r="F62" s="252"/>
      <c r="G62" s="252"/>
      <c r="H62" s="252"/>
      <c r="I62" s="252">
        <v>6500000</v>
      </c>
      <c r="J62" s="252"/>
      <c r="K62" s="252"/>
      <c r="L62" s="252"/>
      <c r="M62" s="252"/>
      <c r="N62" s="252"/>
      <c r="O62"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6500000</v>
      </c>
      <c r="P62" s="252"/>
      <c r="Q62" s="252">
        <v>0</v>
      </c>
      <c r="R62" s="252">
        <v>0</v>
      </c>
      <c r="S62" s="252">
        <f>+Tabla14[[#This Row],[Presupuesto total]]-Tabla14[[#This Row],[Resevas]]-Tabla14[[#This Row],[Compromisos ]]-Tabla14[[#This Row],[Ejecutado]]</f>
        <v>6500000</v>
      </c>
      <c r="T62" s="257" t="s">
        <v>15</v>
      </c>
      <c r="U62" s="253" t="s">
        <v>191</v>
      </c>
      <c r="V62" s="253"/>
      <c r="W62" s="254" t="s">
        <v>300</v>
      </c>
      <c r="X62" s="254" t="s">
        <v>301</v>
      </c>
      <c r="Y62" s="254" t="s">
        <v>300</v>
      </c>
      <c r="Z62" s="249" t="s">
        <v>311</v>
      </c>
      <c r="AA62" s="255" t="s">
        <v>307</v>
      </c>
      <c r="AB62" s="254"/>
    </row>
    <row r="63" spans="2:28" ht="94.5" x14ac:dyDescent="0.25">
      <c r="B63" s="254" t="s">
        <v>252</v>
      </c>
      <c r="C63" s="256" t="s">
        <v>298</v>
      </c>
      <c r="D63" s="255" t="s">
        <v>308</v>
      </c>
      <c r="E63" s="252">
        <f>31170000+8646000</f>
        <v>39816000</v>
      </c>
      <c r="F63" s="252"/>
      <c r="G63" s="252"/>
      <c r="H63" s="252"/>
      <c r="I63" s="252">
        <v>3400000</v>
      </c>
      <c r="J63" s="252"/>
      <c r="K63" s="252"/>
      <c r="L63" s="252"/>
      <c r="M63" s="252">
        <v>385917.6</v>
      </c>
      <c r="N63" s="252"/>
      <c r="O63"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43601917.600000001</v>
      </c>
      <c r="P63" s="252">
        <v>3607905</v>
      </c>
      <c r="Q63" s="252">
        <v>13011055.380000001</v>
      </c>
      <c r="R63" s="252">
        <v>25964949.559999999</v>
      </c>
      <c r="S63" s="252">
        <f>+Tabla14[[#This Row],[Presupuesto total]]-Tabla14[[#This Row],[Resevas]]-Tabla14[[#This Row],[Compromisos ]]-Tabla14[[#This Row],[Ejecutado]]</f>
        <v>1018007.6600000001</v>
      </c>
      <c r="T63" s="257" t="s">
        <v>15</v>
      </c>
      <c r="U63" s="253" t="s">
        <v>191</v>
      </c>
      <c r="V63" s="253" t="s">
        <v>262</v>
      </c>
      <c r="W63" s="254" t="s">
        <v>263</v>
      </c>
      <c r="X63" s="254" t="s">
        <v>264</v>
      </c>
      <c r="Y63" s="254" t="s">
        <v>263</v>
      </c>
      <c r="Z63" s="254" t="s">
        <v>265</v>
      </c>
      <c r="AA63" s="255" t="s">
        <v>309</v>
      </c>
      <c r="AB63" s="254"/>
    </row>
    <row r="64" spans="2:28" ht="67.5" x14ac:dyDescent="0.25">
      <c r="B64" s="249" t="s">
        <v>252</v>
      </c>
      <c r="C64" s="251" t="s">
        <v>532</v>
      </c>
      <c r="D64" s="251" t="s">
        <v>533</v>
      </c>
      <c r="E64" s="252"/>
      <c r="F64" s="252"/>
      <c r="G64" s="252"/>
      <c r="H64" s="252"/>
      <c r="I64" s="252"/>
      <c r="J64" s="252"/>
      <c r="K64" s="252"/>
      <c r="L64" s="252"/>
      <c r="M64" s="252">
        <v>216300</v>
      </c>
      <c r="N64" s="252"/>
      <c r="O64"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216300</v>
      </c>
      <c r="P64" s="252"/>
      <c r="Q64" s="252"/>
      <c r="R64" s="252"/>
      <c r="S64" s="252">
        <f>+Tabla14[[#This Row],[Presupuesto total]]-Tabla14[[#This Row],[Resevas]]-Tabla14[[#This Row],[Compromisos ]]-Tabla14[[#This Row],[Ejecutado]]</f>
        <v>216300</v>
      </c>
      <c r="T64" s="257" t="s">
        <v>15</v>
      </c>
      <c r="U64" s="253" t="s">
        <v>191</v>
      </c>
      <c r="V64" s="253"/>
      <c r="W64" s="254" t="s">
        <v>205</v>
      </c>
      <c r="X64" s="254" t="s">
        <v>301</v>
      </c>
      <c r="Y64" s="254" t="s">
        <v>205</v>
      </c>
      <c r="Z64" s="254"/>
      <c r="AA64" s="255" t="s">
        <v>534</v>
      </c>
      <c r="AB64" s="254"/>
    </row>
    <row r="65" spans="2:28" ht="81" x14ac:dyDescent="0.25">
      <c r="B65" s="254" t="s">
        <v>252</v>
      </c>
      <c r="C65" s="256" t="s">
        <v>298</v>
      </c>
      <c r="D65" s="255" t="s">
        <v>308</v>
      </c>
      <c r="E65" s="252">
        <v>282500</v>
      </c>
      <c r="F65" s="252"/>
      <c r="G65" s="252"/>
      <c r="H65" s="252"/>
      <c r="I65" s="252">
        <v>200000</v>
      </c>
      <c r="J65" s="252"/>
      <c r="K65" s="252"/>
      <c r="L65" s="252"/>
      <c r="M65" s="252"/>
      <c r="N65" s="252"/>
      <c r="O65"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482500</v>
      </c>
      <c r="P65" s="252">
        <v>282500</v>
      </c>
      <c r="Q65" s="252">
        <v>0</v>
      </c>
      <c r="R65" s="252">
        <v>0</v>
      </c>
      <c r="S65" s="252">
        <f>+Tabla14[[#This Row],[Presupuesto total]]-Tabla14[[#This Row],[Resevas]]-Tabla14[[#This Row],[Compromisos ]]-Tabla14[[#This Row],[Ejecutado]]</f>
        <v>200000</v>
      </c>
      <c r="T65" s="257" t="s">
        <v>15</v>
      </c>
      <c r="U65" s="253" t="s">
        <v>191</v>
      </c>
      <c r="V65" s="253" t="s">
        <v>310</v>
      </c>
      <c r="W65" s="258" t="s">
        <v>300</v>
      </c>
      <c r="X65" s="254" t="s">
        <v>301</v>
      </c>
      <c r="Y65" s="258" t="s">
        <v>300</v>
      </c>
      <c r="Z65" s="249" t="s">
        <v>311</v>
      </c>
      <c r="AA65" s="255" t="s">
        <v>312</v>
      </c>
      <c r="AB65" s="254"/>
    </row>
    <row r="66" spans="2:28" ht="54" x14ac:dyDescent="0.25">
      <c r="B66" s="254" t="s">
        <v>252</v>
      </c>
      <c r="C66" s="256" t="s">
        <v>298</v>
      </c>
      <c r="D66" s="255" t="s">
        <v>313</v>
      </c>
      <c r="E66" s="252">
        <v>85000</v>
      </c>
      <c r="F66" s="252"/>
      <c r="G66" s="252"/>
      <c r="H66" s="252"/>
      <c r="I66" s="252"/>
      <c r="J66" s="252"/>
      <c r="K66" s="252"/>
      <c r="L66" s="252"/>
      <c r="M66" s="252"/>
      <c r="N66" s="252"/>
      <c r="O66"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85000</v>
      </c>
      <c r="P66" s="252">
        <v>52444.7</v>
      </c>
      <c r="Q66" s="252">
        <v>0</v>
      </c>
      <c r="R66" s="252">
        <v>32555.3</v>
      </c>
      <c r="S66" s="252">
        <f>+Tabla14[[#This Row],[Presupuesto total]]-Tabla14[[#This Row],[Resevas]]-Tabla14[[#This Row],[Compromisos ]]-Tabla14[[#This Row],[Ejecutado]]</f>
        <v>0</v>
      </c>
      <c r="T66" s="257" t="s">
        <v>15</v>
      </c>
      <c r="U66" s="253" t="s">
        <v>191</v>
      </c>
      <c r="V66" s="253" t="s">
        <v>262</v>
      </c>
      <c r="W66" s="254" t="s">
        <v>263</v>
      </c>
      <c r="X66" s="254" t="s">
        <v>264</v>
      </c>
      <c r="Y66" s="254" t="s">
        <v>263</v>
      </c>
      <c r="Z66" s="254" t="s">
        <v>265</v>
      </c>
      <c r="AA66" s="254" t="s">
        <v>314</v>
      </c>
      <c r="AB66" s="254"/>
    </row>
    <row r="67" spans="2:28" ht="54" x14ac:dyDescent="0.25">
      <c r="B67" s="254" t="s">
        <v>252</v>
      </c>
      <c r="C67" s="256" t="s">
        <v>315</v>
      </c>
      <c r="D67" s="255" t="s">
        <v>316</v>
      </c>
      <c r="E67" s="252">
        <f>2285789+759632.4</f>
        <v>3045421.4</v>
      </c>
      <c r="F67" s="252"/>
      <c r="G67" s="252"/>
      <c r="H67" s="252">
        <v>435000</v>
      </c>
      <c r="I67" s="252"/>
      <c r="J67" s="252"/>
      <c r="K67" s="252"/>
      <c r="L67" s="252">
        <v>-104553</v>
      </c>
      <c r="M67" s="252">
        <v>104553</v>
      </c>
      <c r="N67" s="252"/>
      <c r="O67"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3480421.4</v>
      </c>
      <c r="P67" s="252">
        <v>125640</v>
      </c>
      <c r="Q67" s="252">
        <v>0</v>
      </c>
      <c r="R67" s="252">
        <v>3239927</v>
      </c>
      <c r="S67" s="252">
        <f>+Tabla14[[#This Row],[Presupuesto total]]-Tabla14[[#This Row],[Resevas]]-Tabla14[[#This Row],[Compromisos ]]-Tabla14[[#This Row],[Ejecutado]]</f>
        <v>114854.39999999991</v>
      </c>
      <c r="T67" s="257" t="s">
        <v>15</v>
      </c>
      <c r="U67" s="253" t="s">
        <v>191</v>
      </c>
      <c r="V67" s="253" t="s">
        <v>262</v>
      </c>
      <c r="W67" s="254" t="s">
        <v>263</v>
      </c>
      <c r="X67" s="254" t="s">
        <v>264</v>
      </c>
      <c r="Y67" s="254" t="s">
        <v>263</v>
      </c>
      <c r="Z67" s="254" t="s">
        <v>265</v>
      </c>
      <c r="AA67" s="255" t="s">
        <v>317</v>
      </c>
      <c r="AB67" s="254"/>
    </row>
    <row r="68" spans="2:28" ht="40.5" x14ac:dyDescent="0.25">
      <c r="B68" s="254" t="s">
        <v>252</v>
      </c>
      <c r="C68" s="256" t="s">
        <v>315</v>
      </c>
      <c r="D68" s="255" t="s">
        <v>316</v>
      </c>
      <c r="E68" s="261">
        <v>4000000</v>
      </c>
      <c r="F68" s="261"/>
      <c r="G68" s="261"/>
      <c r="H68" s="261">
        <v>-435000</v>
      </c>
      <c r="I68" s="261">
        <v>-1065000</v>
      </c>
      <c r="J68" s="261"/>
      <c r="K68" s="261"/>
      <c r="L68" s="261"/>
      <c r="M68" s="261">
        <v>150000</v>
      </c>
      <c r="N68" s="261"/>
      <c r="O68"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2650000</v>
      </c>
      <c r="P68" s="252">
        <v>215000</v>
      </c>
      <c r="Q68" s="252">
        <v>0</v>
      </c>
      <c r="R68" s="252">
        <v>2434558</v>
      </c>
      <c r="S68" s="252">
        <f>+Tabla14[[#This Row],[Presupuesto total]]-Tabla14[[#This Row],[Resevas]]-Tabla14[[#This Row],[Compromisos ]]-Tabla14[[#This Row],[Ejecutado]]</f>
        <v>442</v>
      </c>
      <c r="T68" s="257" t="s">
        <v>15</v>
      </c>
      <c r="U68" s="253" t="s">
        <v>191</v>
      </c>
      <c r="V68" s="253" t="s">
        <v>310</v>
      </c>
      <c r="W68" s="254" t="s">
        <v>300</v>
      </c>
      <c r="X68" s="254" t="s">
        <v>301</v>
      </c>
      <c r="Y68" s="258" t="s">
        <v>300</v>
      </c>
      <c r="Z68" s="249" t="s">
        <v>311</v>
      </c>
      <c r="AA68" s="254" t="s">
        <v>535</v>
      </c>
      <c r="AB68" s="254"/>
    </row>
    <row r="69" spans="2:28" ht="37.5" customHeight="1" x14ac:dyDescent="0.25">
      <c r="B69" s="255" t="s">
        <v>252</v>
      </c>
      <c r="C69" s="256" t="s">
        <v>315</v>
      </c>
      <c r="D69" s="255" t="s">
        <v>316</v>
      </c>
      <c r="E69" s="252">
        <v>800000</v>
      </c>
      <c r="F69" s="252"/>
      <c r="G69" s="252"/>
      <c r="H69" s="252"/>
      <c r="I69" s="252"/>
      <c r="J69" s="252"/>
      <c r="K69" s="252"/>
      <c r="L69" s="252">
        <v>104553</v>
      </c>
      <c r="M69" s="252"/>
      <c r="N69" s="252"/>
      <c r="O69"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904553</v>
      </c>
      <c r="P69" s="252">
        <v>0</v>
      </c>
      <c r="Q69" s="252">
        <v>0</v>
      </c>
      <c r="R69" s="252">
        <v>904553</v>
      </c>
      <c r="S69" s="252">
        <f>+Tabla14[[#This Row],[Presupuesto total]]-Tabla14[[#This Row],[Resevas]]-Tabla14[[#This Row],[Compromisos ]]-Tabla14[[#This Row],[Ejecutado]]</f>
        <v>0</v>
      </c>
      <c r="T69" s="257" t="s">
        <v>15</v>
      </c>
      <c r="U69" s="253" t="s">
        <v>191</v>
      </c>
      <c r="V69" s="253" t="s">
        <v>255</v>
      </c>
      <c r="W69" s="254" t="s">
        <v>256</v>
      </c>
      <c r="X69" s="254" t="s">
        <v>257</v>
      </c>
      <c r="Y69" s="254" t="s">
        <v>256</v>
      </c>
      <c r="Z69" s="254" t="s">
        <v>258</v>
      </c>
      <c r="AA69" s="255" t="s">
        <v>318</v>
      </c>
      <c r="AB69" s="255"/>
    </row>
    <row r="70" spans="2:28" ht="81" x14ac:dyDescent="0.25">
      <c r="B70" s="254" t="s">
        <v>252</v>
      </c>
      <c r="C70" s="256" t="s">
        <v>319</v>
      </c>
      <c r="D70" s="255" t="s">
        <v>320</v>
      </c>
      <c r="E70" s="252">
        <v>1000000</v>
      </c>
      <c r="F70" s="252"/>
      <c r="G70" s="252"/>
      <c r="H70" s="252"/>
      <c r="I70" s="252">
        <v>1000000</v>
      </c>
      <c r="J70" s="252"/>
      <c r="K70" s="252"/>
      <c r="L70" s="252"/>
      <c r="M70" s="252"/>
      <c r="N70" s="252"/>
      <c r="O70"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2000000</v>
      </c>
      <c r="P70" s="252">
        <v>0</v>
      </c>
      <c r="Q70" s="252">
        <v>1850850</v>
      </c>
      <c r="R70" s="252">
        <v>0</v>
      </c>
      <c r="S70" s="252">
        <f>+Tabla14[[#This Row],[Presupuesto total]]-Tabla14[[#This Row],[Resevas]]-Tabla14[[#This Row],[Compromisos ]]-Tabla14[[#This Row],[Ejecutado]]</f>
        <v>149150</v>
      </c>
      <c r="T70" s="257" t="s">
        <v>15</v>
      </c>
      <c r="U70" s="253" t="s">
        <v>191</v>
      </c>
      <c r="V70" s="253" t="s">
        <v>262</v>
      </c>
      <c r="W70" s="254" t="s">
        <v>263</v>
      </c>
      <c r="X70" s="254" t="s">
        <v>264</v>
      </c>
      <c r="Y70" s="254" t="s">
        <v>263</v>
      </c>
      <c r="Z70" s="254" t="s">
        <v>265</v>
      </c>
      <c r="AA70" s="254" t="s">
        <v>321</v>
      </c>
      <c r="AB70" s="254"/>
    </row>
    <row r="71" spans="2:28" ht="38.25" customHeight="1" x14ac:dyDescent="0.25">
      <c r="B71" s="254" t="s">
        <v>252</v>
      </c>
      <c r="C71" s="256" t="s">
        <v>319</v>
      </c>
      <c r="D71" s="251" t="s">
        <v>322</v>
      </c>
      <c r="E71" s="252">
        <v>0</v>
      </c>
      <c r="F71" s="252"/>
      <c r="G71" s="252"/>
      <c r="H71" s="252"/>
      <c r="I71" s="252">
        <v>1200000</v>
      </c>
      <c r="J71" s="252"/>
      <c r="K71" s="252"/>
      <c r="L71" s="252"/>
      <c r="M71" s="252"/>
      <c r="N71" s="252"/>
      <c r="O71"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1200000</v>
      </c>
      <c r="P71" s="252">
        <v>0</v>
      </c>
      <c r="Q71" s="252">
        <v>0</v>
      </c>
      <c r="R71" s="252">
        <v>0</v>
      </c>
      <c r="S71" s="252">
        <f>+Tabla14[[#This Row],[Presupuesto total]]-Tabla14[[#This Row],[Resevas]]-Tabla14[[#This Row],[Compromisos ]]-Tabla14[[#This Row],[Ejecutado]]</f>
        <v>1200000</v>
      </c>
      <c r="T71" s="257" t="s">
        <v>15</v>
      </c>
      <c r="U71" s="253" t="s">
        <v>191</v>
      </c>
      <c r="V71" s="253"/>
      <c r="W71" s="254" t="s">
        <v>263</v>
      </c>
      <c r="X71" s="254" t="s">
        <v>264</v>
      </c>
      <c r="Y71" s="254" t="s">
        <v>263</v>
      </c>
      <c r="Z71" s="254" t="s">
        <v>265</v>
      </c>
      <c r="AA71" s="255" t="s">
        <v>323</v>
      </c>
      <c r="AB71" s="254"/>
    </row>
    <row r="72" spans="2:28" ht="54" x14ac:dyDescent="0.25">
      <c r="B72" s="255" t="s">
        <v>252</v>
      </c>
      <c r="C72" s="256" t="s">
        <v>319</v>
      </c>
      <c r="D72" s="255" t="s">
        <v>324</v>
      </c>
      <c r="E72" s="252">
        <v>734500</v>
      </c>
      <c r="F72" s="252"/>
      <c r="G72" s="252"/>
      <c r="H72" s="252"/>
      <c r="I72" s="252"/>
      <c r="J72" s="252">
        <v>689300</v>
      </c>
      <c r="K72" s="252"/>
      <c r="L72" s="252"/>
      <c r="M72" s="252"/>
      <c r="N72" s="252"/>
      <c r="O72"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1423800</v>
      </c>
      <c r="P72" s="252">
        <v>0</v>
      </c>
      <c r="Q72" s="252">
        <v>452000</v>
      </c>
      <c r="R72" s="252">
        <v>971800</v>
      </c>
      <c r="S72" s="252">
        <f>+Tabla14[[#This Row],[Presupuesto total]]-Tabla14[[#This Row],[Resevas]]-Tabla14[[#This Row],[Compromisos ]]-Tabla14[[#This Row],[Ejecutado]]</f>
        <v>0</v>
      </c>
      <c r="T72" s="257" t="s">
        <v>15</v>
      </c>
      <c r="U72" s="253" t="s">
        <v>191</v>
      </c>
      <c r="V72" s="253" t="s">
        <v>255</v>
      </c>
      <c r="W72" s="254" t="s">
        <v>256</v>
      </c>
      <c r="X72" s="254" t="s">
        <v>257</v>
      </c>
      <c r="Y72" s="254" t="s">
        <v>256</v>
      </c>
      <c r="Z72" s="254" t="s">
        <v>258</v>
      </c>
      <c r="AA72" s="255" t="s">
        <v>325</v>
      </c>
      <c r="AB72" s="255"/>
    </row>
    <row r="73" spans="2:28" ht="54" x14ac:dyDescent="0.25">
      <c r="B73" s="255" t="s">
        <v>252</v>
      </c>
      <c r="C73" s="256" t="s">
        <v>319</v>
      </c>
      <c r="D73" s="255" t="s">
        <v>326</v>
      </c>
      <c r="E73" s="252">
        <v>67800</v>
      </c>
      <c r="F73" s="252"/>
      <c r="G73" s="252"/>
      <c r="H73" s="252"/>
      <c r="I73" s="252"/>
      <c r="J73" s="252"/>
      <c r="K73" s="252"/>
      <c r="L73" s="252"/>
      <c r="M73" s="252"/>
      <c r="N73" s="252"/>
      <c r="O73"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67800</v>
      </c>
      <c r="P73" s="252">
        <v>0</v>
      </c>
      <c r="Q73" s="252"/>
      <c r="R73" s="252">
        <v>67800</v>
      </c>
      <c r="S73" s="252">
        <f>+Tabla14[[#This Row],[Presupuesto total]]-Tabla14[[#This Row],[Resevas]]-Tabla14[[#This Row],[Compromisos ]]-Tabla14[[#This Row],[Ejecutado]]</f>
        <v>0</v>
      </c>
      <c r="T73" s="257" t="s">
        <v>15</v>
      </c>
      <c r="U73" s="253" t="s">
        <v>191</v>
      </c>
      <c r="V73" s="253" t="s">
        <v>255</v>
      </c>
      <c r="W73" s="254" t="s">
        <v>256</v>
      </c>
      <c r="X73" s="254" t="s">
        <v>257</v>
      </c>
      <c r="Y73" s="254" t="s">
        <v>256</v>
      </c>
      <c r="Z73" s="254" t="s">
        <v>258</v>
      </c>
      <c r="AA73" s="255" t="s">
        <v>327</v>
      </c>
      <c r="AB73" s="255"/>
    </row>
    <row r="74" spans="2:28" ht="108" x14ac:dyDescent="0.25">
      <c r="B74" s="255" t="s">
        <v>252</v>
      </c>
      <c r="C74" s="256" t="s">
        <v>319</v>
      </c>
      <c r="D74" s="255" t="s">
        <v>328</v>
      </c>
      <c r="E74" s="252">
        <f>192100+12581420+2830000</f>
        <v>15603520</v>
      </c>
      <c r="F74" s="252"/>
      <c r="G74" s="252"/>
      <c r="H74" s="252"/>
      <c r="I74" s="252"/>
      <c r="J74" s="252">
        <v>-713050</v>
      </c>
      <c r="K74" s="252"/>
      <c r="L74" s="252"/>
      <c r="M74" s="252">
        <v>-544553</v>
      </c>
      <c r="N74" s="252"/>
      <c r="O74"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14345917</v>
      </c>
      <c r="P74" s="252"/>
      <c r="Q74" s="252">
        <v>3592835</v>
      </c>
      <c r="R74" s="252">
        <v>7547870.3300000001</v>
      </c>
      <c r="S74" s="252">
        <f>+Tabla14[[#This Row],[Presupuesto total]]-Tabla14[[#This Row],[Resevas]]-Tabla14[[#This Row],[Compromisos ]]-Tabla14[[#This Row],[Ejecutado]]</f>
        <v>3205211.67</v>
      </c>
      <c r="T74" s="257" t="s">
        <v>15</v>
      </c>
      <c r="U74" s="253" t="s">
        <v>191</v>
      </c>
      <c r="V74" s="253" t="s">
        <v>255</v>
      </c>
      <c r="W74" s="254" t="s">
        <v>256</v>
      </c>
      <c r="X74" s="254" t="s">
        <v>257</v>
      </c>
      <c r="Y74" s="254" t="s">
        <v>256</v>
      </c>
      <c r="Z74" s="254" t="s">
        <v>258</v>
      </c>
      <c r="AA74" s="255" t="s">
        <v>329</v>
      </c>
      <c r="AB74" s="255"/>
    </row>
    <row r="75" spans="2:28" ht="40.5" x14ac:dyDescent="0.25">
      <c r="B75" s="255" t="s">
        <v>252</v>
      </c>
      <c r="C75" s="256" t="s">
        <v>330</v>
      </c>
      <c r="D75" s="251" t="s">
        <v>331</v>
      </c>
      <c r="E75" s="252">
        <v>0</v>
      </c>
      <c r="F75" s="252">
        <v>2330000</v>
      </c>
      <c r="G75" s="252"/>
      <c r="H75" s="252"/>
      <c r="I75" s="252"/>
      <c r="J75" s="252"/>
      <c r="K75" s="252"/>
      <c r="L75" s="252"/>
      <c r="M75" s="252"/>
      <c r="N75" s="252"/>
      <c r="O75"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2330000</v>
      </c>
      <c r="P75" s="252">
        <v>0</v>
      </c>
      <c r="Q75" s="252">
        <v>0</v>
      </c>
      <c r="R75" s="252">
        <v>2327335</v>
      </c>
      <c r="S75" s="252">
        <f>+Tabla14[[#This Row],[Presupuesto total]]-Tabla14[[#This Row],[Resevas]]-Tabla14[[#This Row],[Compromisos ]]-Tabla14[[#This Row],[Ejecutado]]</f>
        <v>2665</v>
      </c>
      <c r="T75" s="257" t="s">
        <v>15</v>
      </c>
      <c r="U75" s="253" t="s">
        <v>191</v>
      </c>
      <c r="V75" s="253" t="s">
        <v>310</v>
      </c>
      <c r="W75" s="254" t="s">
        <v>300</v>
      </c>
      <c r="X75" s="254" t="s">
        <v>301</v>
      </c>
      <c r="Y75" s="254" t="s">
        <v>300</v>
      </c>
      <c r="Z75" s="249" t="s">
        <v>311</v>
      </c>
      <c r="AA75" s="255" t="s">
        <v>332</v>
      </c>
      <c r="AB75" s="255"/>
    </row>
    <row r="76" spans="2:28" ht="54" x14ac:dyDescent="0.25">
      <c r="B76" s="254" t="s">
        <v>252</v>
      </c>
      <c r="C76" s="251"/>
      <c r="D76" s="255" t="s">
        <v>333</v>
      </c>
      <c r="E76" s="252">
        <v>625980</v>
      </c>
      <c r="F76" s="252"/>
      <c r="G76" s="252"/>
      <c r="H76" s="252"/>
      <c r="I76" s="252"/>
      <c r="J76" s="252"/>
      <c r="K76" s="252"/>
      <c r="L76" s="252"/>
      <c r="M76" s="252"/>
      <c r="N76" s="252"/>
      <c r="O76"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625980</v>
      </c>
      <c r="P76" s="252">
        <v>625980</v>
      </c>
      <c r="Q76" s="252">
        <v>0</v>
      </c>
      <c r="R76" s="252">
        <v>0</v>
      </c>
      <c r="S76" s="252">
        <f>+Tabla14[[#This Row],[Presupuesto total]]-Tabla14[[#This Row],[Resevas]]-Tabla14[[#This Row],[Compromisos ]]-Tabla14[[#This Row],[Ejecutado]]</f>
        <v>0</v>
      </c>
      <c r="T76" s="257" t="s">
        <v>15</v>
      </c>
      <c r="U76" s="253" t="s">
        <v>191</v>
      </c>
      <c r="V76" s="253" t="s">
        <v>262</v>
      </c>
      <c r="W76" s="254" t="s">
        <v>263</v>
      </c>
      <c r="X76" s="254" t="s">
        <v>264</v>
      </c>
      <c r="Y76" s="254" t="s">
        <v>263</v>
      </c>
      <c r="Z76" s="254" t="s">
        <v>265</v>
      </c>
      <c r="AA76" s="255" t="s">
        <v>334</v>
      </c>
      <c r="AB76" s="254"/>
    </row>
    <row r="77" spans="2:28" ht="40.5" x14ac:dyDescent="0.25">
      <c r="B77" s="254" t="s">
        <v>252</v>
      </c>
      <c r="C77" s="256" t="s">
        <v>330</v>
      </c>
      <c r="D77" s="255" t="s">
        <v>333</v>
      </c>
      <c r="E77" s="252">
        <v>25000</v>
      </c>
      <c r="F77" s="252"/>
      <c r="G77" s="252"/>
      <c r="H77" s="252"/>
      <c r="I77" s="252"/>
      <c r="J77" s="252"/>
      <c r="K77" s="252"/>
      <c r="L77" s="252"/>
      <c r="M77" s="252"/>
      <c r="N77" s="252"/>
      <c r="O77"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25000</v>
      </c>
      <c r="P77" s="252">
        <v>0</v>
      </c>
      <c r="Q77" s="252">
        <v>0</v>
      </c>
      <c r="R77" s="252">
        <v>0</v>
      </c>
      <c r="S77" s="252">
        <f>+Tabla14[[#This Row],[Presupuesto total]]-Tabla14[[#This Row],[Resevas]]-Tabla14[[#This Row],[Compromisos ]]-Tabla14[[#This Row],[Ejecutado]]</f>
        <v>25000</v>
      </c>
      <c r="T77" s="257" t="s">
        <v>15</v>
      </c>
      <c r="U77" s="253" t="s">
        <v>191</v>
      </c>
      <c r="V77" s="253" t="s">
        <v>335</v>
      </c>
      <c r="W77" s="258" t="s">
        <v>336</v>
      </c>
      <c r="X77" s="254" t="s">
        <v>301</v>
      </c>
      <c r="Y77" s="254" t="s">
        <v>338</v>
      </c>
      <c r="Z77" s="254" t="s">
        <v>339</v>
      </c>
      <c r="AA77" s="255" t="s">
        <v>340</v>
      </c>
      <c r="AB77" s="255"/>
    </row>
    <row r="78" spans="2:28" ht="54" x14ac:dyDescent="0.25">
      <c r="B78" s="254" t="s">
        <v>341</v>
      </c>
      <c r="C78" s="256" t="s">
        <v>342</v>
      </c>
      <c r="D78" s="255" t="s">
        <v>343</v>
      </c>
      <c r="E78" s="252">
        <v>350000</v>
      </c>
      <c r="F78" s="252"/>
      <c r="G78" s="252"/>
      <c r="H78" s="252"/>
      <c r="I78" s="252"/>
      <c r="J78" s="252"/>
      <c r="K78" s="252"/>
      <c r="L78" s="252"/>
      <c r="M78" s="252"/>
      <c r="N78" s="252"/>
      <c r="O78"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350000</v>
      </c>
      <c r="P78" s="252">
        <v>188449</v>
      </c>
      <c r="Q78" s="252">
        <v>0</v>
      </c>
      <c r="R78" s="252">
        <v>161550.70000000001</v>
      </c>
      <c r="S78" s="252">
        <f>+Tabla14[[#This Row],[Presupuesto total]]-Tabla14[[#This Row],[Resevas]]-Tabla14[[#This Row],[Compromisos ]]-Tabla14[[#This Row],[Ejecutado]]</f>
        <v>0.29999999998835847</v>
      </c>
      <c r="T78" s="257" t="s">
        <v>15</v>
      </c>
      <c r="U78" s="253" t="s">
        <v>191</v>
      </c>
      <c r="V78" s="253" t="s">
        <v>262</v>
      </c>
      <c r="W78" s="254" t="s">
        <v>263</v>
      </c>
      <c r="X78" s="254" t="s">
        <v>264</v>
      </c>
      <c r="Y78" s="254" t="s">
        <v>263</v>
      </c>
      <c r="Z78" s="254" t="s">
        <v>265</v>
      </c>
      <c r="AA78" s="254" t="s">
        <v>344</v>
      </c>
      <c r="AB78" s="254"/>
    </row>
    <row r="79" spans="2:28" ht="27" x14ac:dyDescent="0.25">
      <c r="B79" s="249" t="s">
        <v>341</v>
      </c>
      <c r="C79" s="256" t="s">
        <v>342</v>
      </c>
      <c r="D79" s="251" t="s">
        <v>536</v>
      </c>
      <c r="E79" s="252"/>
      <c r="F79" s="252"/>
      <c r="G79" s="252"/>
      <c r="H79" s="252"/>
      <c r="I79" s="252"/>
      <c r="J79" s="252"/>
      <c r="K79" s="252"/>
      <c r="L79" s="252"/>
      <c r="M79" s="252">
        <v>100000</v>
      </c>
      <c r="N79" s="252"/>
      <c r="O79"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100000</v>
      </c>
      <c r="P79" s="252">
        <v>1723.9</v>
      </c>
      <c r="Q79" s="252">
        <v>98276.1</v>
      </c>
      <c r="R79" s="252"/>
      <c r="S79" s="252">
        <f>+Tabla14[[#This Row],[Presupuesto total]]-Tabla14[[#This Row],[Resevas]]-Tabla14[[#This Row],[Compromisos ]]-Tabla14[[#This Row],[Ejecutado]]</f>
        <v>0</v>
      </c>
      <c r="T79" s="257" t="s">
        <v>15</v>
      </c>
      <c r="U79" s="253" t="s">
        <v>191</v>
      </c>
      <c r="V79" s="253"/>
      <c r="W79" s="254" t="s">
        <v>300</v>
      </c>
      <c r="X79" s="254" t="s">
        <v>301</v>
      </c>
      <c r="Y79" s="254" t="s">
        <v>300</v>
      </c>
      <c r="Z79" s="249" t="s">
        <v>311</v>
      </c>
      <c r="AA79" s="255" t="s">
        <v>537</v>
      </c>
      <c r="AB79" s="254"/>
    </row>
    <row r="80" spans="2:28" ht="54" x14ac:dyDescent="0.25">
      <c r="B80" s="254" t="s">
        <v>341</v>
      </c>
      <c r="C80" s="256" t="s">
        <v>342</v>
      </c>
      <c r="D80" s="255" t="s">
        <v>345</v>
      </c>
      <c r="E80" s="252">
        <v>150000</v>
      </c>
      <c r="F80" s="252"/>
      <c r="G80" s="252"/>
      <c r="H80" s="252"/>
      <c r="I80" s="252"/>
      <c r="J80" s="252"/>
      <c r="K80" s="252"/>
      <c r="L80" s="252"/>
      <c r="M80" s="252"/>
      <c r="N80" s="252"/>
      <c r="O80"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150000</v>
      </c>
      <c r="P80" s="252">
        <v>150000</v>
      </c>
      <c r="Q80" s="252">
        <v>0</v>
      </c>
      <c r="R80" s="252">
        <v>0</v>
      </c>
      <c r="S80" s="252">
        <f>+Tabla14[[#This Row],[Presupuesto total]]-Tabla14[[#This Row],[Resevas]]-Tabla14[[#This Row],[Compromisos ]]-Tabla14[[#This Row],[Ejecutado]]</f>
        <v>0</v>
      </c>
      <c r="T80" s="257" t="s">
        <v>15</v>
      </c>
      <c r="U80" s="253" t="s">
        <v>191</v>
      </c>
      <c r="V80" s="253" t="s">
        <v>262</v>
      </c>
      <c r="W80" s="254" t="s">
        <v>263</v>
      </c>
      <c r="X80" s="254" t="s">
        <v>264</v>
      </c>
      <c r="Y80" s="254" t="s">
        <v>263</v>
      </c>
      <c r="Z80" s="254" t="s">
        <v>265</v>
      </c>
      <c r="AA80" s="254" t="s">
        <v>346</v>
      </c>
      <c r="AB80" s="254" t="s">
        <v>347</v>
      </c>
    </row>
    <row r="81" spans="2:28" ht="67.5" x14ac:dyDescent="0.25">
      <c r="B81" s="255" t="s">
        <v>341</v>
      </c>
      <c r="C81" s="260" t="s">
        <v>348</v>
      </c>
      <c r="D81" s="255" t="s">
        <v>349</v>
      </c>
      <c r="E81" s="252">
        <v>615000</v>
      </c>
      <c r="F81" s="252"/>
      <c r="G81" s="252"/>
      <c r="H81" s="252"/>
      <c r="I81" s="252"/>
      <c r="J81" s="252"/>
      <c r="K81" s="252"/>
      <c r="L81" s="252"/>
      <c r="M81" s="252"/>
      <c r="N81" s="252"/>
      <c r="O81"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615000</v>
      </c>
      <c r="P81" s="252">
        <v>615000</v>
      </c>
      <c r="Q81" s="252">
        <v>0</v>
      </c>
      <c r="R81" s="252">
        <v>0</v>
      </c>
      <c r="S81" s="252">
        <f>+Tabla14[[#This Row],[Presupuesto total]]-Tabla14[[#This Row],[Resevas]]-Tabla14[[#This Row],[Compromisos ]]-Tabla14[[#This Row],[Ejecutado]]</f>
        <v>0</v>
      </c>
      <c r="T81" s="257" t="s">
        <v>15</v>
      </c>
      <c r="U81" s="253" t="s">
        <v>191</v>
      </c>
      <c r="V81" s="253" t="s">
        <v>255</v>
      </c>
      <c r="W81" s="254" t="s">
        <v>256</v>
      </c>
      <c r="X81" s="254" t="s">
        <v>257</v>
      </c>
      <c r="Y81" s="254" t="s">
        <v>256</v>
      </c>
      <c r="Z81" s="254" t="s">
        <v>258</v>
      </c>
      <c r="AA81" s="255" t="s">
        <v>350</v>
      </c>
      <c r="AB81" s="255"/>
    </row>
    <row r="82" spans="2:28" ht="54" x14ac:dyDescent="0.25">
      <c r="B82" s="254" t="s">
        <v>341</v>
      </c>
      <c r="C82" s="256" t="s">
        <v>351</v>
      </c>
      <c r="D82" s="255" t="s">
        <v>352</v>
      </c>
      <c r="E82" s="252">
        <v>200000</v>
      </c>
      <c r="F82" s="252"/>
      <c r="G82" s="252"/>
      <c r="H82" s="252"/>
      <c r="I82" s="252">
        <v>225000</v>
      </c>
      <c r="J82" s="252"/>
      <c r="K82" s="252"/>
      <c r="L82" s="252"/>
      <c r="M82" s="252"/>
      <c r="N82" s="252"/>
      <c r="O82"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425000</v>
      </c>
      <c r="P82" s="252">
        <v>200000</v>
      </c>
      <c r="Q82" s="252">
        <v>0</v>
      </c>
      <c r="R82" s="252">
        <v>0</v>
      </c>
      <c r="S82" s="252">
        <f>+Tabla14[[#This Row],[Presupuesto total]]-Tabla14[[#This Row],[Resevas]]-Tabla14[[#This Row],[Compromisos ]]-Tabla14[[#This Row],[Ejecutado]]</f>
        <v>225000</v>
      </c>
      <c r="T82" s="257" t="s">
        <v>15</v>
      </c>
      <c r="U82" s="253" t="s">
        <v>191</v>
      </c>
      <c r="V82" s="253" t="s">
        <v>262</v>
      </c>
      <c r="W82" s="254" t="s">
        <v>263</v>
      </c>
      <c r="X82" s="254" t="s">
        <v>264</v>
      </c>
      <c r="Y82" s="254" t="s">
        <v>263</v>
      </c>
      <c r="Z82" s="254" t="s">
        <v>265</v>
      </c>
      <c r="AA82" s="255" t="s">
        <v>353</v>
      </c>
      <c r="AB82" s="254" t="s">
        <v>354</v>
      </c>
    </row>
    <row r="83" spans="2:28" ht="54" x14ac:dyDescent="0.25">
      <c r="B83" s="254" t="s">
        <v>341</v>
      </c>
      <c r="C83" s="256" t="s">
        <v>355</v>
      </c>
      <c r="D83" s="255" t="s">
        <v>356</v>
      </c>
      <c r="E83" s="252">
        <v>37500</v>
      </c>
      <c r="F83" s="252"/>
      <c r="G83" s="252"/>
      <c r="H83" s="252"/>
      <c r="I83" s="252"/>
      <c r="J83" s="252"/>
      <c r="K83" s="252"/>
      <c r="L83" s="252"/>
      <c r="M83" s="252"/>
      <c r="N83" s="252"/>
      <c r="O83"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37500</v>
      </c>
      <c r="P83" s="252">
        <v>25220</v>
      </c>
      <c r="Q83" s="252">
        <v>0</v>
      </c>
      <c r="R83" s="252">
        <v>0</v>
      </c>
      <c r="S83" s="252">
        <f>+Tabla14[[#This Row],[Presupuesto total]]-Tabla14[[#This Row],[Resevas]]-Tabla14[[#This Row],[Compromisos ]]-Tabla14[[#This Row],[Ejecutado]]</f>
        <v>12280</v>
      </c>
      <c r="T83" s="257" t="s">
        <v>15</v>
      </c>
      <c r="U83" s="253" t="s">
        <v>191</v>
      </c>
      <c r="V83" s="253" t="s">
        <v>262</v>
      </c>
      <c r="W83" s="254" t="s">
        <v>263</v>
      </c>
      <c r="X83" s="254" t="s">
        <v>264</v>
      </c>
      <c r="Y83" s="254" t="s">
        <v>263</v>
      </c>
      <c r="Z83" s="254" t="s">
        <v>265</v>
      </c>
      <c r="AA83" s="255" t="s">
        <v>357</v>
      </c>
      <c r="AB83" s="254"/>
    </row>
    <row r="84" spans="2:28" ht="40.5" x14ac:dyDescent="0.25">
      <c r="B84" s="254" t="s">
        <v>341</v>
      </c>
      <c r="C84" s="256" t="s">
        <v>355</v>
      </c>
      <c r="D84" s="255" t="s">
        <v>358</v>
      </c>
      <c r="E84" s="252">
        <v>100000</v>
      </c>
      <c r="F84" s="252"/>
      <c r="G84" s="252"/>
      <c r="H84" s="252"/>
      <c r="I84" s="252"/>
      <c r="J84" s="252"/>
      <c r="K84" s="252"/>
      <c r="L84" s="252"/>
      <c r="M84" s="252">
        <v>-100000</v>
      </c>
      <c r="N84" s="252"/>
      <c r="O84"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0</v>
      </c>
      <c r="P84" s="252">
        <v>0</v>
      </c>
      <c r="Q84" s="252">
        <v>0</v>
      </c>
      <c r="R84" s="252">
        <v>0</v>
      </c>
      <c r="S84" s="252">
        <f>+Tabla14[[#This Row],[Presupuesto total]]-Tabla14[[#This Row],[Resevas]]-Tabla14[[#This Row],[Compromisos ]]-Tabla14[[#This Row],[Ejecutado]]</f>
        <v>0</v>
      </c>
      <c r="T84" s="257" t="s">
        <v>15</v>
      </c>
      <c r="U84" s="253" t="s">
        <v>191</v>
      </c>
      <c r="V84" s="253" t="s">
        <v>310</v>
      </c>
      <c r="W84" s="258" t="s">
        <v>300</v>
      </c>
      <c r="X84" s="254" t="s">
        <v>301</v>
      </c>
      <c r="Y84" s="258" t="s">
        <v>300</v>
      </c>
      <c r="Z84" s="249" t="s">
        <v>311</v>
      </c>
      <c r="AA84" s="255" t="s">
        <v>359</v>
      </c>
      <c r="AB84" s="255"/>
    </row>
    <row r="85" spans="2:28" ht="54" x14ac:dyDescent="0.25">
      <c r="B85" s="254" t="s">
        <v>341</v>
      </c>
      <c r="C85" s="256" t="s">
        <v>355</v>
      </c>
      <c r="D85" s="255" t="s">
        <v>360</v>
      </c>
      <c r="E85" s="252">
        <f>37500+30000</f>
        <v>67500</v>
      </c>
      <c r="F85" s="252"/>
      <c r="G85" s="252"/>
      <c r="H85" s="252"/>
      <c r="I85" s="252"/>
      <c r="J85" s="252"/>
      <c r="K85" s="252"/>
      <c r="L85" s="252"/>
      <c r="M85" s="252">
        <v>200000</v>
      </c>
      <c r="N85" s="252"/>
      <c r="O85"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267500</v>
      </c>
      <c r="P85" s="252">
        <v>0</v>
      </c>
      <c r="Q85" s="252">
        <v>0</v>
      </c>
      <c r="R85" s="252">
        <v>0</v>
      </c>
      <c r="S85" s="252">
        <f>+Tabla14[[#This Row],[Presupuesto total]]-Tabla14[[#This Row],[Resevas]]-Tabla14[[#This Row],[Compromisos ]]-Tabla14[[#This Row],[Ejecutado]]</f>
        <v>267500</v>
      </c>
      <c r="T85" s="257" t="s">
        <v>15</v>
      </c>
      <c r="U85" s="253" t="s">
        <v>191</v>
      </c>
      <c r="V85" s="253" t="s">
        <v>262</v>
      </c>
      <c r="W85" s="254" t="s">
        <v>263</v>
      </c>
      <c r="X85" s="254" t="s">
        <v>264</v>
      </c>
      <c r="Y85" s="254" t="s">
        <v>263</v>
      </c>
      <c r="Z85" s="254" t="s">
        <v>265</v>
      </c>
      <c r="AA85" s="255" t="s">
        <v>361</v>
      </c>
      <c r="AB85" s="254"/>
    </row>
    <row r="86" spans="2:28" ht="232.5" customHeight="1" x14ac:dyDescent="0.25">
      <c r="B86" s="254" t="s">
        <v>362</v>
      </c>
      <c r="C86" s="260" t="s">
        <v>363</v>
      </c>
      <c r="D86" s="255" t="s">
        <v>364</v>
      </c>
      <c r="E86" s="252">
        <v>600000</v>
      </c>
      <c r="F86" s="252"/>
      <c r="G86" s="252"/>
      <c r="H86" s="252"/>
      <c r="I86" s="252"/>
      <c r="J86" s="252"/>
      <c r="K86" s="252"/>
      <c r="L86" s="252"/>
      <c r="M86" s="252"/>
      <c r="N86" s="252"/>
      <c r="O86"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600000</v>
      </c>
      <c r="P86" s="252">
        <v>600000</v>
      </c>
      <c r="Q86" s="252">
        <v>0</v>
      </c>
      <c r="R86" s="252">
        <v>0</v>
      </c>
      <c r="S86" s="252">
        <f>+Tabla14[[#This Row],[Presupuesto total]]-Tabla14[[#This Row],[Resevas]]-Tabla14[[#This Row],[Compromisos ]]-Tabla14[[#This Row],[Ejecutado]]</f>
        <v>0</v>
      </c>
      <c r="T86" s="257" t="s">
        <v>22</v>
      </c>
      <c r="U86" s="257" t="s">
        <v>185</v>
      </c>
      <c r="V86" s="253" t="s">
        <v>538</v>
      </c>
      <c r="W86" s="254" t="s">
        <v>365</v>
      </c>
      <c r="X86" s="254" t="s">
        <v>366</v>
      </c>
      <c r="Y86" s="258" t="s">
        <v>205</v>
      </c>
      <c r="Z86" s="254" t="s">
        <v>207</v>
      </c>
      <c r="AA86" s="254" t="s">
        <v>367</v>
      </c>
      <c r="AB86" s="254"/>
    </row>
    <row r="87" spans="2:28" ht="29.25" customHeight="1" x14ac:dyDescent="0.25">
      <c r="B87" s="254" t="s">
        <v>362</v>
      </c>
      <c r="C87" s="256" t="s">
        <v>363</v>
      </c>
      <c r="D87" s="255" t="s">
        <v>368</v>
      </c>
      <c r="E87" s="252">
        <v>0</v>
      </c>
      <c r="F87" s="252"/>
      <c r="G87" s="252"/>
      <c r="H87" s="252"/>
      <c r="I87" s="252">
        <v>180000</v>
      </c>
      <c r="J87" s="252"/>
      <c r="K87" s="252"/>
      <c r="L87" s="252"/>
      <c r="M87" s="252">
        <v>270000</v>
      </c>
      <c r="N87" s="252"/>
      <c r="O87"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450000</v>
      </c>
      <c r="P87" s="252">
        <v>450000</v>
      </c>
      <c r="Q87" s="252">
        <v>0</v>
      </c>
      <c r="R87" s="252">
        <v>0</v>
      </c>
      <c r="S87" s="252">
        <f>+Tabla14[[#This Row],[Presupuesto total]]-Tabla14[[#This Row],[Resevas]]-Tabla14[[#This Row],[Compromisos ]]-Tabla14[[#This Row],[Ejecutado]]</f>
        <v>0</v>
      </c>
      <c r="T87" s="257" t="s">
        <v>15</v>
      </c>
      <c r="U87" s="253" t="s">
        <v>191</v>
      </c>
      <c r="V87" s="253"/>
      <c r="W87" s="254" t="s">
        <v>263</v>
      </c>
      <c r="X87" s="254" t="s">
        <v>264</v>
      </c>
      <c r="Y87" s="254" t="s">
        <v>263</v>
      </c>
      <c r="Z87" s="254"/>
      <c r="AA87" s="255" t="s">
        <v>539</v>
      </c>
      <c r="AB87" s="254"/>
    </row>
    <row r="88" spans="2:28" ht="27" x14ac:dyDescent="0.25">
      <c r="B88" s="249" t="s">
        <v>362</v>
      </c>
      <c r="C88" s="256" t="s">
        <v>363</v>
      </c>
      <c r="D88" s="255" t="s">
        <v>368</v>
      </c>
      <c r="E88" s="252"/>
      <c r="F88" s="252"/>
      <c r="G88" s="252"/>
      <c r="H88" s="252"/>
      <c r="I88" s="252"/>
      <c r="J88" s="252"/>
      <c r="K88" s="252"/>
      <c r="L88" s="252"/>
      <c r="M88" s="252">
        <v>2300000</v>
      </c>
      <c r="N88" s="252"/>
      <c r="O88"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2300000</v>
      </c>
      <c r="P88" s="252">
        <v>2300000</v>
      </c>
      <c r="Q88" s="252"/>
      <c r="R88" s="252"/>
      <c r="S88" s="252">
        <f>+Tabla14[[#This Row],[Presupuesto total]]-Tabla14[[#This Row],[Resevas]]-Tabla14[[#This Row],[Compromisos ]]-Tabla14[[#This Row],[Ejecutado]]</f>
        <v>0</v>
      </c>
      <c r="T88" s="257" t="s">
        <v>15</v>
      </c>
      <c r="U88" s="253" t="s">
        <v>191</v>
      </c>
      <c r="V88" s="253"/>
      <c r="W88" s="254" t="s">
        <v>256</v>
      </c>
      <c r="X88" s="254" t="s">
        <v>257</v>
      </c>
      <c r="Y88" s="254" t="s">
        <v>256</v>
      </c>
      <c r="Z88" s="254" t="s">
        <v>258</v>
      </c>
      <c r="AA88" s="255" t="s">
        <v>540</v>
      </c>
      <c r="AB88" s="254"/>
    </row>
    <row r="89" spans="2:28" ht="40.5" x14ac:dyDescent="0.25">
      <c r="B89" s="249" t="s">
        <v>362</v>
      </c>
      <c r="C89" s="256" t="s">
        <v>363</v>
      </c>
      <c r="D89" s="251" t="s">
        <v>541</v>
      </c>
      <c r="E89" s="252"/>
      <c r="F89" s="252"/>
      <c r="G89" s="252"/>
      <c r="H89" s="252"/>
      <c r="I89" s="252"/>
      <c r="J89" s="252"/>
      <c r="K89" s="252"/>
      <c r="L89" s="252"/>
      <c r="M89" s="252">
        <v>3063249.26</v>
      </c>
      <c r="N89" s="252"/>
      <c r="O89"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3063249.26</v>
      </c>
      <c r="P89" s="252">
        <v>3063249.26</v>
      </c>
      <c r="Q89" s="252"/>
      <c r="R89" s="252"/>
      <c r="S89" s="252">
        <f>+Tabla14[[#This Row],[Presupuesto total]]-Tabla14[[#This Row],[Resevas]]-Tabla14[[#This Row],[Compromisos ]]-Tabla14[[#This Row],[Ejecutado]]</f>
        <v>0</v>
      </c>
      <c r="T89" s="253" t="s">
        <v>19</v>
      </c>
      <c r="U89" s="253" t="s">
        <v>191</v>
      </c>
      <c r="V89" s="253"/>
      <c r="W89" s="254" t="s">
        <v>374</v>
      </c>
      <c r="X89" s="254" t="s">
        <v>542</v>
      </c>
      <c r="Y89" s="254" t="s">
        <v>256</v>
      </c>
      <c r="Z89" s="254" t="s">
        <v>258</v>
      </c>
      <c r="AA89" s="255" t="s">
        <v>543</v>
      </c>
      <c r="AB89" s="254"/>
    </row>
    <row r="90" spans="2:28" ht="40.5" x14ac:dyDescent="0.25">
      <c r="B90" s="249" t="s">
        <v>362</v>
      </c>
      <c r="C90" s="256" t="s">
        <v>363</v>
      </c>
      <c r="D90" s="251" t="s">
        <v>541</v>
      </c>
      <c r="E90" s="252"/>
      <c r="F90" s="252"/>
      <c r="G90" s="252"/>
      <c r="H90" s="252"/>
      <c r="I90" s="252"/>
      <c r="J90" s="252"/>
      <c r="K90" s="252"/>
      <c r="L90" s="252"/>
      <c r="M90" s="252">
        <v>3815320.57</v>
      </c>
      <c r="N90" s="252"/>
      <c r="O90"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3815320.57</v>
      </c>
      <c r="P90" s="252">
        <v>3815320.57</v>
      </c>
      <c r="Q90" s="252"/>
      <c r="R90" s="252"/>
      <c r="S90" s="252">
        <f>+Tabla14[[#This Row],[Presupuesto total]]-Tabla14[[#This Row],[Resevas]]-Tabla14[[#This Row],[Compromisos ]]-Tabla14[[#This Row],[Ejecutado]]</f>
        <v>0</v>
      </c>
      <c r="T90" s="253" t="s">
        <v>18</v>
      </c>
      <c r="U90" s="253" t="s">
        <v>191</v>
      </c>
      <c r="V90" s="253"/>
      <c r="W90" s="254" t="s">
        <v>373</v>
      </c>
      <c r="X90" s="254" t="s">
        <v>544</v>
      </c>
      <c r="Y90" s="254" t="s">
        <v>256</v>
      </c>
      <c r="Z90" s="254" t="s">
        <v>258</v>
      </c>
      <c r="AA90" s="255" t="s">
        <v>545</v>
      </c>
      <c r="AB90" s="254"/>
    </row>
    <row r="91" spans="2:28" ht="40.5" x14ac:dyDescent="0.25">
      <c r="B91" s="249" t="s">
        <v>362</v>
      </c>
      <c r="C91" s="256" t="s">
        <v>363</v>
      </c>
      <c r="D91" s="251" t="s">
        <v>541</v>
      </c>
      <c r="E91" s="252"/>
      <c r="F91" s="252"/>
      <c r="G91" s="252"/>
      <c r="H91" s="252"/>
      <c r="I91" s="252"/>
      <c r="J91" s="252"/>
      <c r="K91" s="252"/>
      <c r="L91" s="252"/>
      <c r="M91" s="252">
        <v>16371430.17</v>
      </c>
      <c r="N91" s="252"/>
      <c r="O91"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16371430.17</v>
      </c>
      <c r="P91" s="252">
        <v>16371430.17</v>
      </c>
      <c r="Q91" s="252"/>
      <c r="R91" s="252"/>
      <c r="S91" s="252">
        <f>+Tabla14[[#This Row],[Presupuesto total]]-Tabla14[[#This Row],[Resevas]]-Tabla14[[#This Row],[Compromisos ]]-Tabla14[[#This Row],[Ejecutado]]</f>
        <v>0</v>
      </c>
      <c r="T91" s="257" t="s">
        <v>15</v>
      </c>
      <c r="U91" s="253" t="s">
        <v>191</v>
      </c>
      <c r="V91" s="253"/>
      <c r="W91" s="254" t="s">
        <v>256</v>
      </c>
      <c r="X91" s="254" t="s">
        <v>257</v>
      </c>
      <c r="Y91" s="254" t="s">
        <v>256</v>
      </c>
      <c r="Z91" s="254" t="s">
        <v>258</v>
      </c>
      <c r="AA91" s="255" t="s">
        <v>545</v>
      </c>
      <c r="AB91" s="254"/>
    </row>
    <row r="92" spans="2:28" ht="54" x14ac:dyDescent="0.25">
      <c r="B92" s="255" t="s">
        <v>362</v>
      </c>
      <c r="C92" s="256" t="s">
        <v>369</v>
      </c>
      <c r="D92" s="255" t="s">
        <v>370</v>
      </c>
      <c r="E92" s="252"/>
      <c r="F92" s="252"/>
      <c r="G92" s="252"/>
      <c r="H92" s="252"/>
      <c r="I92" s="252"/>
      <c r="J92" s="252"/>
      <c r="K92" s="252">
        <v>3096301.35</v>
      </c>
      <c r="L92" s="252"/>
      <c r="M92" s="252"/>
      <c r="N92" s="252"/>
      <c r="O92" s="36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3096301.35</v>
      </c>
      <c r="P92" s="252"/>
      <c r="Q92" s="252"/>
      <c r="R92" s="252"/>
      <c r="S92" s="252">
        <f>+Tabla14[[#This Row],[Presupuesto total]]-Tabla14[[#This Row],[Resevas]]-Tabla14[[#This Row],[Compromisos ]]-Tabla14[[#This Row],[Ejecutado]]</f>
        <v>3096301.35</v>
      </c>
      <c r="T92" s="363" t="s">
        <v>22</v>
      </c>
      <c r="U92" s="253" t="s">
        <v>191</v>
      </c>
      <c r="V92" s="253" t="s">
        <v>255</v>
      </c>
      <c r="W92" s="254" t="s">
        <v>371</v>
      </c>
      <c r="X92" s="254" t="s">
        <v>546</v>
      </c>
      <c r="Y92" s="254" t="s">
        <v>256</v>
      </c>
      <c r="Z92" s="254" t="s">
        <v>258</v>
      </c>
      <c r="AA92" s="255" t="s">
        <v>372</v>
      </c>
      <c r="AB92" s="254"/>
    </row>
    <row r="93" spans="2:28" ht="54" x14ac:dyDescent="0.25">
      <c r="B93" s="255" t="s">
        <v>362</v>
      </c>
      <c r="C93" s="260" t="s">
        <v>369</v>
      </c>
      <c r="D93" s="255" t="s">
        <v>370</v>
      </c>
      <c r="E93" s="252"/>
      <c r="F93" s="252"/>
      <c r="G93" s="252"/>
      <c r="H93" s="252"/>
      <c r="I93" s="252"/>
      <c r="J93" s="252"/>
      <c r="K93" s="252">
        <v>3815320.57</v>
      </c>
      <c r="L93" s="252"/>
      <c r="M93" s="252">
        <v>-3815320.57</v>
      </c>
      <c r="N93" s="252"/>
      <c r="O93"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0</v>
      </c>
      <c r="P93" s="252">
        <v>0</v>
      </c>
      <c r="Q93" s="252">
        <v>0</v>
      </c>
      <c r="R93" s="252">
        <v>0</v>
      </c>
      <c r="S93" s="252">
        <f>+Tabla14[[#This Row],[Presupuesto total]]-Tabla14[[#This Row],[Resevas]]-Tabla14[[#This Row],[Compromisos ]]-Tabla14[[#This Row],[Ejecutado]]</f>
        <v>0</v>
      </c>
      <c r="T93" s="253" t="s">
        <v>18</v>
      </c>
      <c r="U93" s="253" t="s">
        <v>191</v>
      </c>
      <c r="V93" s="253" t="s">
        <v>255</v>
      </c>
      <c r="W93" s="254" t="s">
        <v>373</v>
      </c>
      <c r="X93" s="254" t="s">
        <v>544</v>
      </c>
      <c r="Y93" s="254" t="s">
        <v>256</v>
      </c>
      <c r="Z93" s="254" t="s">
        <v>258</v>
      </c>
      <c r="AA93" s="255" t="s">
        <v>372</v>
      </c>
      <c r="AB93" s="254"/>
    </row>
    <row r="94" spans="2:28" ht="54" x14ac:dyDescent="0.25">
      <c r="B94" s="255" t="s">
        <v>362</v>
      </c>
      <c r="C94" s="260" t="s">
        <v>369</v>
      </c>
      <c r="D94" s="255" t="s">
        <v>370</v>
      </c>
      <c r="E94" s="252"/>
      <c r="F94" s="252"/>
      <c r="G94" s="252"/>
      <c r="H94" s="252"/>
      <c r="I94" s="252"/>
      <c r="J94" s="252"/>
      <c r="K94" s="252">
        <v>3063249.26</v>
      </c>
      <c r="L94" s="252"/>
      <c r="M94" s="252">
        <v>-3063249.26</v>
      </c>
      <c r="N94" s="252"/>
      <c r="O94"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0</v>
      </c>
      <c r="P94" s="252"/>
      <c r="Q94" s="252"/>
      <c r="R94" s="252"/>
      <c r="S94" s="252">
        <f>+Tabla14[[#This Row],[Presupuesto total]]-Tabla14[[#This Row],[Resevas]]-Tabla14[[#This Row],[Compromisos ]]-Tabla14[[#This Row],[Ejecutado]]</f>
        <v>0</v>
      </c>
      <c r="T94" s="253" t="s">
        <v>19</v>
      </c>
      <c r="U94" s="253" t="s">
        <v>191</v>
      </c>
      <c r="V94" s="253" t="s">
        <v>255</v>
      </c>
      <c r="W94" s="254" t="s">
        <v>374</v>
      </c>
      <c r="X94" s="254" t="s">
        <v>542</v>
      </c>
      <c r="Y94" s="254" t="s">
        <v>256</v>
      </c>
      <c r="Z94" s="254" t="s">
        <v>258</v>
      </c>
      <c r="AA94" s="255" t="s">
        <v>372</v>
      </c>
      <c r="AB94" s="254"/>
    </row>
    <row r="95" spans="2:28" ht="162" x14ac:dyDescent="0.25">
      <c r="B95" s="255" t="s">
        <v>362</v>
      </c>
      <c r="C95" s="260" t="s">
        <v>369</v>
      </c>
      <c r="D95" s="255" t="s">
        <v>370</v>
      </c>
      <c r="E95" s="252">
        <f>8675000+1900000+2300000</f>
        <v>12875000</v>
      </c>
      <c r="F95" s="252"/>
      <c r="G95" s="252">
        <v>10439698.82</v>
      </c>
      <c r="H95" s="252"/>
      <c r="I95" s="252"/>
      <c r="J95" s="252"/>
      <c r="K95" s="252"/>
      <c r="L95" s="252"/>
      <c r="M95" s="252">
        <v>-10921430.17</v>
      </c>
      <c r="N95" s="252"/>
      <c r="O95"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12393268.65</v>
      </c>
      <c r="P95" s="252">
        <v>8300000</v>
      </c>
      <c r="Q95" s="252">
        <v>3084900</v>
      </c>
      <c r="R95" s="252">
        <v>709187.28</v>
      </c>
      <c r="S95" s="252">
        <f>+Tabla14[[#This Row],[Presupuesto total]]-Tabla14[[#This Row],[Resevas]]-Tabla14[[#This Row],[Compromisos ]]-Tabla14[[#This Row],[Ejecutado]]</f>
        <v>299181.37000000034</v>
      </c>
      <c r="T95" s="257" t="s">
        <v>15</v>
      </c>
      <c r="U95" s="253" t="s">
        <v>191</v>
      </c>
      <c r="V95" s="253" t="s">
        <v>255</v>
      </c>
      <c r="W95" s="254" t="s">
        <v>256</v>
      </c>
      <c r="X95" s="254" t="s">
        <v>257</v>
      </c>
      <c r="Y95" s="254" t="s">
        <v>256</v>
      </c>
      <c r="Z95" s="254" t="s">
        <v>258</v>
      </c>
      <c r="AA95" s="255" t="s">
        <v>375</v>
      </c>
      <c r="AB95" s="255"/>
    </row>
    <row r="96" spans="2:28" ht="40.5" x14ac:dyDescent="0.25">
      <c r="B96" s="255" t="s">
        <v>362</v>
      </c>
      <c r="C96" s="256" t="s">
        <v>369</v>
      </c>
      <c r="D96" s="255" t="s">
        <v>370</v>
      </c>
      <c r="E96" s="252">
        <v>10439698.82</v>
      </c>
      <c r="F96" s="252"/>
      <c r="G96" s="252">
        <v>-10439698.82</v>
      </c>
      <c r="H96" s="252"/>
      <c r="I96" s="252"/>
      <c r="J96" s="252"/>
      <c r="K96" s="252"/>
      <c r="L96" s="252"/>
      <c r="M96" s="252"/>
      <c r="N96" s="252"/>
      <c r="O96"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0</v>
      </c>
      <c r="P96" s="252"/>
      <c r="Q96" s="252"/>
      <c r="R96" s="252">
        <v>0</v>
      </c>
      <c r="S96" s="252">
        <f>+Tabla14[[#This Row],[Presupuesto total]]-Tabla14[[#This Row],[Resevas]]-Tabla14[[#This Row],[Compromisos ]]-Tabla14[[#This Row],[Ejecutado]]</f>
        <v>0</v>
      </c>
      <c r="T96" s="257" t="s">
        <v>15</v>
      </c>
      <c r="U96" s="253" t="s">
        <v>191</v>
      </c>
      <c r="V96" s="253"/>
      <c r="W96" s="254" t="s">
        <v>193</v>
      </c>
      <c r="X96" s="254" t="s">
        <v>376</v>
      </c>
      <c r="Y96" s="254" t="s">
        <v>195</v>
      </c>
      <c r="Z96" s="254" t="s">
        <v>377</v>
      </c>
      <c r="AA96" s="255" t="s">
        <v>378</v>
      </c>
      <c r="AB96" s="255"/>
    </row>
    <row r="97" spans="2:28" ht="54" x14ac:dyDescent="0.25">
      <c r="B97" s="254" t="s">
        <v>379</v>
      </c>
      <c r="C97" s="260" t="s">
        <v>380</v>
      </c>
      <c r="D97" s="251" t="s">
        <v>381</v>
      </c>
      <c r="E97" s="252"/>
      <c r="F97" s="252"/>
      <c r="G97" s="252"/>
      <c r="H97" s="252"/>
      <c r="I97" s="252"/>
      <c r="J97" s="252"/>
      <c r="K97" s="252">
        <v>5530161.1299999999</v>
      </c>
      <c r="L97" s="252"/>
      <c r="M97" s="252"/>
      <c r="N97" s="252"/>
      <c r="O97"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5530161.1299999999</v>
      </c>
      <c r="P97" s="252">
        <v>0</v>
      </c>
      <c r="Q97" s="252">
        <v>0</v>
      </c>
      <c r="R97" s="252">
        <v>5530161.1299999999</v>
      </c>
      <c r="S97" s="252">
        <f>+Tabla14[[#This Row],[Presupuesto total]]-Tabla14[[#This Row],[Resevas]]-Tabla14[[#This Row],[Compromisos ]]-Tabla14[[#This Row],[Ejecutado]]</f>
        <v>0</v>
      </c>
      <c r="T97" s="253" t="s">
        <v>18</v>
      </c>
      <c r="U97" s="253" t="s">
        <v>191</v>
      </c>
      <c r="V97" s="253" t="s">
        <v>279</v>
      </c>
      <c r="W97" s="254" t="s">
        <v>382</v>
      </c>
      <c r="X97" s="254" t="s">
        <v>547</v>
      </c>
      <c r="Y97" s="254" t="s">
        <v>282</v>
      </c>
      <c r="Z97" s="254" t="s">
        <v>283</v>
      </c>
      <c r="AA97" s="255" t="s">
        <v>383</v>
      </c>
      <c r="AB97" s="255"/>
    </row>
    <row r="98" spans="2:28" ht="54" x14ac:dyDescent="0.25">
      <c r="B98" s="254" t="s">
        <v>379</v>
      </c>
      <c r="C98" s="260" t="s">
        <v>380</v>
      </c>
      <c r="D98" s="255" t="s">
        <v>384</v>
      </c>
      <c r="E98" s="252">
        <v>1892460.24</v>
      </c>
      <c r="F98" s="252"/>
      <c r="G98" s="252"/>
      <c r="H98" s="252"/>
      <c r="I98" s="252">
        <v>-1726551.94</v>
      </c>
      <c r="J98" s="252"/>
      <c r="K98" s="252"/>
      <c r="L98" s="252"/>
      <c r="M98" s="252"/>
      <c r="N98" s="252"/>
      <c r="O98"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165908.30000000005</v>
      </c>
      <c r="P98" s="252">
        <v>0</v>
      </c>
      <c r="Q98" s="252">
        <v>0</v>
      </c>
      <c r="R98" s="252">
        <v>165908.29999999999</v>
      </c>
      <c r="S98" s="252">
        <f>+Tabla14[[#This Row],[Presupuesto total]]-Tabla14[[#This Row],[Resevas]]-Tabla14[[#This Row],[Compromisos ]]-Tabla14[[#This Row],[Ejecutado]]</f>
        <v>0</v>
      </c>
      <c r="T98" s="257" t="s">
        <v>15</v>
      </c>
      <c r="U98" s="253" t="s">
        <v>191</v>
      </c>
      <c r="V98" s="253" t="s">
        <v>279</v>
      </c>
      <c r="W98" s="254" t="s">
        <v>280</v>
      </c>
      <c r="X98" s="254" t="s">
        <v>281</v>
      </c>
      <c r="Y98" s="254" t="s">
        <v>282</v>
      </c>
      <c r="Z98" s="254" t="s">
        <v>283</v>
      </c>
      <c r="AA98" s="254" t="s">
        <v>385</v>
      </c>
      <c r="AB98" s="254"/>
    </row>
    <row r="99" spans="2:28" ht="60.75" customHeight="1" x14ac:dyDescent="0.25">
      <c r="B99" s="249" t="s">
        <v>379</v>
      </c>
      <c r="C99" s="260" t="s">
        <v>380</v>
      </c>
      <c r="D99" s="251" t="s">
        <v>386</v>
      </c>
      <c r="E99" s="261">
        <v>317258004.00999999</v>
      </c>
      <c r="F99" s="261"/>
      <c r="G99" s="261"/>
      <c r="H99" s="261"/>
      <c r="I99" s="261">
        <v>25000000</v>
      </c>
      <c r="J99" s="261"/>
      <c r="K99" s="261">
        <v>-81098367.010000005</v>
      </c>
      <c r="L99" s="261"/>
      <c r="M99" s="261">
        <v>1443562</v>
      </c>
      <c r="N99" s="261"/>
      <c r="O99"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262603199</v>
      </c>
      <c r="P99" s="252">
        <v>1443562</v>
      </c>
      <c r="Q99" s="252">
        <v>0</v>
      </c>
      <c r="R99" s="252">
        <v>261159637</v>
      </c>
      <c r="S99" s="252">
        <f>+Tabla14[[#This Row],[Presupuesto total]]-Tabla14[[#This Row],[Resevas]]-Tabla14[[#This Row],[Compromisos ]]-Tabla14[[#This Row],[Ejecutado]]</f>
        <v>0</v>
      </c>
      <c r="T99" s="253" t="s">
        <v>16</v>
      </c>
      <c r="U99" s="253" t="s">
        <v>185</v>
      </c>
      <c r="V99" s="253" t="s">
        <v>387</v>
      </c>
      <c r="W99" s="254" t="s">
        <v>388</v>
      </c>
      <c r="X99" s="255" t="s">
        <v>389</v>
      </c>
      <c r="Y99" s="254" t="s">
        <v>390</v>
      </c>
      <c r="Z99" s="254" t="s">
        <v>391</v>
      </c>
      <c r="AA99" s="255" t="s">
        <v>392</v>
      </c>
      <c r="AB99" s="254"/>
    </row>
    <row r="100" spans="2:28" ht="60.75" customHeight="1" x14ac:dyDescent="0.25">
      <c r="B100" s="249" t="s">
        <v>379</v>
      </c>
      <c r="C100" s="260" t="s">
        <v>380</v>
      </c>
      <c r="D100" s="251" t="s">
        <v>386</v>
      </c>
      <c r="E100" s="261"/>
      <c r="F100" s="252"/>
      <c r="G100" s="252"/>
      <c r="H100" s="252"/>
      <c r="I100" s="252"/>
      <c r="J100" s="252"/>
      <c r="K100" s="252">
        <v>81098367.010000005</v>
      </c>
      <c r="L100" s="252"/>
      <c r="M100" s="252">
        <v>25018140</v>
      </c>
      <c r="N100" s="252"/>
      <c r="O100"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106116507.01000001</v>
      </c>
      <c r="P100" s="252">
        <v>31903197.010000002</v>
      </c>
      <c r="Q100" s="252">
        <v>45224199</v>
      </c>
      <c r="R100" s="252">
        <v>28989111</v>
      </c>
      <c r="S100" s="252">
        <f>+Tabla14[[#This Row],[Presupuesto total]]-Tabla14[[#This Row],[Resevas]]-Tabla14[[#This Row],[Compromisos ]]-Tabla14[[#This Row],[Ejecutado]]</f>
        <v>0</v>
      </c>
      <c r="T100" s="253" t="s">
        <v>59</v>
      </c>
      <c r="U100" s="253" t="s">
        <v>185</v>
      </c>
      <c r="V100" s="253" t="s">
        <v>387</v>
      </c>
      <c r="W100" s="254" t="s">
        <v>393</v>
      </c>
      <c r="X100" s="255"/>
      <c r="Y100" s="254" t="s">
        <v>390</v>
      </c>
      <c r="Z100" s="254"/>
      <c r="AA100" s="255" t="s">
        <v>394</v>
      </c>
      <c r="AB100" s="254"/>
    </row>
    <row r="101" spans="2:28" ht="54" x14ac:dyDescent="0.25">
      <c r="B101" s="249" t="s">
        <v>379</v>
      </c>
      <c r="C101" s="260" t="s">
        <v>380</v>
      </c>
      <c r="D101" s="251" t="s">
        <v>386</v>
      </c>
      <c r="E101" s="261">
        <v>50000000</v>
      </c>
      <c r="F101" s="261"/>
      <c r="G101" s="261"/>
      <c r="H101" s="261"/>
      <c r="I101" s="261"/>
      <c r="J101" s="261"/>
      <c r="K101" s="261">
        <v>-50000000</v>
      </c>
      <c r="L101" s="261"/>
      <c r="M101" s="261"/>
      <c r="N101" s="261"/>
      <c r="O101"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0</v>
      </c>
      <c r="P101" s="252">
        <v>0</v>
      </c>
      <c r="Q101" s="252">
        <v>0</v>
      </c>
      <c r="R101" s="252"/>
      <c r="S101" s="252">
        <f>+Tabla14[[#This Row],[Presupuesto total]]-Tabla14[[#This Row],[Resevas]]-Tabla14[[#This Row],[Compromisos ]]-Tabla14[[#This Row],[Ejecutado]]</f>
        <v>0</v>
      </c>
      <c r="T101" s="253" t="s">
        <v>24</v>
      </c>
      <c r="U101" s="253" t="s">
        <v>185</v>
      </c>
      <c r="V101" s="253" t="s">
        <v>387</v>
      </c>
      <c r="W101" s="254" t="s">
        <v>395</v>
      </c>
      <c r="X101" s="255" t="s">
        <v>396</v>
      </c>
      <c r="Y101" s="254" t="s">
        <v>390</v>
      </c>
      <c r="Z101" s="254" t="s">
        <v>391</v>
      </c>
      <c r="AA101" s="255" t="s">
        <v>397</v>
      </c>
      <c r="AB101" s="254"/>
    </row>
    <row r="102" spans="2:28" ht="54" x14ac:dyDescent="0.25">
      <c r="B102" s="249" t="s">
        <v>379</v>
      </c>
      <c r="C102" s="260" t="s">
        <v>380</v>
      </c>
      <c r="D102" s="251" t="s">
        <v>386</v>
      </c>
      <c r="E102" s="261"/>
      <c r="F102" s="252"/>
      <c r="G102" s="252"/>
      <c r="H102" s="252"/>
      <c r="I102" s="252"/>
      <c r="J102" s="252"/>
      <c r="K102" s="252">
        <v>50867820</v>
      </c>
      <c r="L102" s="252"/>
      <c r="M102" s="252"/>
      <c r="N102" s="252"/>
      <c r="O102"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50867820</v>
      </c>
      <c r="P102" s="252">
        <v>0</v>
      </c>
      <c r="Q102" s="252">
        <v>35991956</v>
      </c>
      <c r="R102" s="252">
        <v>14875864</v>
      </c>
      <c r="S102" s="252">
        <f>+Tabla14[[#This Row],[Presupuesto total]]-Tabla14[[#This Row],[Resevas]]-Tabla14[[#This Row],[Compromisos ]]-Tabla14[[#This Row],[Ejecutado]]</f>
        <v>0</v>
      </c>
      <c r="T102" s="253" t="s">
        <v>398</v>
      </c>
      <c r="U102" s="253" t="s">
        <v>185</v>
      </c>
      <c r="V102" s="253" t="s">
        <v>387</v>
      </c>
      <c r="W102" s="254" t="s">
        <v>399</v>
      </c>
      <c r="X102" s="255"/>
      <c r="Y102" s="254" t="s">
        <v>390</v>
      </c>
      <c r="Z102" s="254"/>
      <c r="AA102" s="255" t="s">
        <v>400</v>
      </c>
      <c r="AB102" s="254"/>
    </row>
    <row r="103" spans="2:28" ht="54" x14ac:dyDescent="0.25">
      <c r="B103" s="249" t="s">
        <v>379</v>
      </c>
      <c r="C103" s="260" t="s">
        <v>380</v>
      </c>
      <c r="D103" s="251" t="s">
        <v>401</v>
      </c>
      <c r="E103" s="261">
        <v>97937257.010000005</v>
      </c>
      <c r="F103" s="261"/>
      <c r="G103" s="261"/>
      <c r="H103" s="261"/>
      <c r="I103" s="261"/>
      <c r="J103" s="261"/>
      <c r="K103" s="261"/>
      <c r="L103" s="261"/>
      <c r="M103" s="261"/>
      <c r="N103" s="261"/>
      <c r="O103"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97937257.010000005</v>
      </c>
      <c r="P103" s="252"/>
      <c r="Q103" s="252"/>
      <c r="R103" s="252">
        <v>73452942.879999995</v>
      </c>
      <c r="S103" s="252">
        <f>+Tabla14[[#This Row],[Presupuesto total]]-Tabla14[[#This Row],[Resevas]]-Tabla14[[#This Row],[Compromisos ]]-Tabla14[[#This Row],[Ejecutado]]</f>
        <v>24484314.13000001</v>
      </c>
      <c r="T103" s="253" t="s">
        <v>17</v>
      </c>
      <c r="U103" s="253" t="s">
        <v>185</v>
      </c>
      <c r="V103" s="253" t="s">
        <v>387</v>
      </c>
      <c r="W103" s="254" t="s">
        <v>390</v>
      </c>
      <c r="X103" s="255" t="s">
        <v>402</v>
      </c>
      <c r="Y103" s="254" t="s">
        <v>390</v>
      </c>
      <c r="Z103" s="254" t="s">
        <v>391</v>
      </c>
      <c r="AA103" s="255" t="s">
        <v>392</v>
      </c>
      <c r="AB103" s="254"/>
    </row>
    <row r="104" spans="2:28" ht="57" customHeight="1" x14ac:dyDescent="0.25">
      <c r="B104" s="249" t="s">
        <v>379</v>
      </c>
      <c r="C104" s="260" t="s">
        <v>403</v>
      </c>
      <c r="D104" s="251" t="s">
        <v>404</v>
      </c>
      <c r="E104" s="261">
        <v>48151809</v>
      </c>
      <c r="F104" s="261"/>
      <c r="G104" s="261"/>
      <c r="H104" s="261"/>
      <c r="I104" s="261">
        <v>-25000000</v>
      </c>
      <c r="J104" s="261"/>
      <c r="K104" s="261">
        <v>-21708247</v>
      </c>
      <c r="L104" s="261"/>
      <c r="M104" s="261">
        <v>-1443562</v>
      </c>
      <c r="N104" s="261"/>
      <c r="O104"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0</v>
      </c>
      <c r="P104" s="252">
        <v>0</v>
      </c>
      <c r="Q104" s="252">
        <v>0</v>
      </c>
      <c r="R104" s="252">
        <v>0</v>
      </c>
      <c r="S104" s="252">
        <f>+Tabla14[[#This Row],[Presupuesto total]]-Tabla14[[#This Row],[Resevas]]-Tabla14[[#This Row],[Compromisos ]]-Tabla14[[#This Row],[Ejecutado]]</f>
        <v>0</v>
      </c>
      <c r="T104" s="253" t="s">
        <v>16</v>
      </c>
      <c r="U104" s="253" t="s">
        <v>185</v>
      </c>
      <c r="V104" s="253" t="s">
        <v>387</v>
      </c>
      <c r="W104" s="254" t="s">
        <v>388</v>
      </c>
      <c r="X104" s="255" t="s">
        <v>389</v>
      </c>
      <c r="Y104" s="254" t="s">
        <v>390</v>
      </c>
      <c r="Z104" s="254" t="s">
        <v>391</v>
      </c>
      <c r="AA104" s="255" t="s">
        <v>392</v>
      </c>
      <c r="AB104" s="254"/>
    </row>
    <row r="105" spans="2:28" ht="57" customHeight="1" x14ac:dyDescent="0.25">
      <c r="B105" s="249" t="s">
        <v>379</v>
      </c>
      <c r="C105" s="260" t="s">
        <v>403</v>
      </c>
      <c r="D105" s="251" t="s">
        <v>404</v>
      </c>
      <c r="E105" s="261"/>
      <c r="F105" s="252"/>
      <c r="G105" s="252"/>
      <c r="H105" s="252"/>
      <c r="I105" s="252"/>
      <c r="J105" s="252"/>
      <c r="K105" s="252">
        <v>6850427</v>
      </c>
      <c r="L105" s="252"/>
      <c r="M105" s="252">
        <v>-4038187</v>
      </c>
      <c r="N105" s="252"/>
      <c r="O105"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2812240</v>
      </c>
      <c r="P105" s="252">
        <v>0</v>
      </c>
      <c r="Q105" s="252">
        <v>2812240</v>
      </c>
      <c r="R105" s="252">
        <v>0</v>
      </c>
      <c r="S105" s="252">
        <f>+Tabla14[[#This Row],[Presupuesto total]]-Tabla14[[#This Row],[Resevas]]-Tabla14[[#This Row],[Compromisos ]]-Tabla14[[#This Row],[Ejecutado]]</f>
        <v>0</v>
      </c>
      <c r="T105" s="253" t="s">
        <v>59</v>
      </c>
      <c r="U105" s="253" t="s">
        <v>185</v>
      </c>
      <c r="V105" s="253" t="s">
        <v>387</v>
      </c>
      <c r="W105" s="254" t="s">
        <v>393</v>
      </c>
      <c r="X105" s="255"/>
      <c r="Y105" s="254" t="s">
        <v>390</v>
      </c>
      <c r="Z105" s="254"/>
      <c r="AA105" s="255" t="s">
        <v>394</v>
      </c>
      <c r="AB105" s="254"/>
    </row>
    <row r="106" spans="2:28" ht="57" customHeight="1" x14ac:dyDescent="0.25">
      <c r="B106" s="249" t="s">
        <v>379</v>
      </c>
      <c r="C106" s="260" t="s">
        <v>403</v>
      </c>
      <c r="D106" s="251" t="s">
        <v>405</v>
      </c>
      <c r="E106" s="261"/>
      <c r="F106" s="252"/>
      <c r="G106" s="252"/>
      <c r="H106" s="252"/>
      <c r="I106" s="252"/>
      <c r="J106" s="252"/>
      <c r="K106" s="252">
        <v>13990000</v>
      </c>
      <c r="L106" s="252"/>
      <c r="M106" s="252"/>
      <c r="N106" s="252"/>
      <c r="O106"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13990000</v>
      </c>
      <c r="P106" s="252">
        <v>13990000</v>
      </c>
      <c r="Q106" s="252">
        <v>0</v>
      </c>
      <c r="R106" s="252">
        <v>0</v>
      </c>
      <c r="S106" s="252">
        <f>+Tabla14[[#This Row],[Presupuesto total]]-Tabla14[[#This Row],[Resevas]]-Tabla14[[#This Row],[Compromisos ]]-Tabla14[[#This Row],[Ejecutado]]</f>
        <v>0</v>
      </c>
      <c r="T106" s="253" t="s">
        <v>59</v>
      </c>
      <c r="U106" s="253" t="s">
        <v>185</v>
      </c>
      <c r="V106" s="253" t="s">
        <v>291</v>
      </c>
      <c r="W106" s="254" t="s">
        <v>406</v>
      </c>
      <c r="X106" s="255"/>
      <c r="Y106" s="254" t="s">
        <v>292</v>
      </c>
      <c r="Z106" s="254"/>
      <c r="AA106" s="255" t="s">
        <v>407</v>
      </c>
      <c r="AB106" s="254"/>
    </row>
    <row r="107" spans="2:28" ht="81" x14ac:dyDescent="0.25">
      <c r="B107" s="249" t="s">
        <v>379</v>
      </c>
      <c r="C107" s="260" t="s">
        <v>408</v>
      </c>
      <c r="D107" s="251" t="s">
        <v>409</v>
      </c>
      <c r="E107" s="261">
        <v>250000</v>
      </c>
      <c r="F107" s="261"/>
      <c r="G107" s="261"/>
      <c r="H107" s="261"/>
      <c r="I107" s="261">
        <v>250000</v>
      </c>
      <c r="J107" s="261"/>
      <c r="K107" s="261"/>
      <c r="L107" s="261"/>
      <c r="M107" s="261"/>
      <c r="N107" s="261"/>
      <c r="O107"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500000</v>
      </c>
      <c r="P107" s="252"/>
      <c r="Q107" s="252"/>
      <c r="R107" s="252">
        <v>0</v>
      </c>
      <c r="S107" s="252">
        <f>+Tabla14[[#This Row],[Presupuesto total]]-Tabla14[[#This Row],[Resevas]]-Tabla14[[#This Row],[Compromisos ]]-Tabla14[[#This Row],[Ejecutado]]</f>
        <v>500000</v>
      </c>
      <c r="T107" s="253" t="s">
        <v>15</v>
      </c>
      <c r="U107" s="253" t="s">
        <v>185</v>
      </c>
      <c r="V107" s="253" t="s">
        <v>186</v>
      </c>
      <c r="W107" s="254" t="s">
        <v>187</v>
      </c>
      <c r="X107" s="255" t="s">
        <v>188</v>
      </c>
      <c r="Y107" s="254" t="s">
        <v>187</v>
      </c>
      <c r="Z107" s="255" t="s">
        <v>189</v>
      </c>
      <c r="AA107" s="251" t="s">
        <v>410</v>
      </c>
      <c r="AB107" s="251"/>
    </row>
    <row r="108" spans="2:28" ht="81" x14ac:dyDescent="0.25">
      <c r="B108" s="249" t="s">
        <v>379</v>
      </c>
      <c r="C108" s="256" t="s">
        <v>408</v>
      </c>
      <c r="D108" s="251" t="s">
        <v>409</v>
      </c>
      <c r="E108" s="261">
        <v>250000</v>
      </c>
      <c r="F108" s="261"/>
      <c r="G108" s="261"/>
      <c r="H108" s="261"/>
      <c r="I108" s="261">
        <v>250000</v>
      </c>
      <c r="J108" s="261"/>
      <c r="K108" s="261"/>
      <c r="L108" s="261"/>
      <c r="M108" s="261">
        <v>1000000</v>
      </c>
      <c r="N108" s="261"/>
      <c r="O108"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1500000</v>
      </c>
      <c r="P108" s="252"/>
      <c r="Q108" s="252"/>
      <c r="R108" s="252">
        <v>0</v>
      </c>
      <c r="S108" s="252">
        <f>+Tabla14[[#This Row],[Presupuesto total]]-Tabla14[[#This Row],[Resevas]]-Tabla14[[#This Row],[Compromisos ]]-Tabla14[[#This Row],[Ejecutado]]</f>
        <v>1500000</v>
      </c>
      <c r="T108" s="253" t="s">
        <v>15</v>
      </c>
      <c r="U108" s="253" t="s">
        <v>191</v>
      </c>
      <c r="V108" s="253" t="s">
        <v>192</v>
      </c>
      <c r="W108" s="254" t="s">
        <v>193</v>
      </c>
      <c r="X108" s="255" t="s">
        <v>194</v>
      </c>
      <c r="Y108" s="254" t="s">
        <v>195</v>
      </c>
      <c r="Z108" s="255" t="s">
        <v>196</v>
      </c>
      <c r="AA108" s="251" t="s">
        <v>411</v>
      </c>
      <c r="AB108" s="251"/>
    </row>
    <row r="109" spans="2:28" ht="54" x14ac:dyDescent="0.25">
      <c r="B109" s="249" t="s">
        <v>379</v>
      </c>
      <c r="C109" s="256" t="s">
        <v>408</v>
      </c>
      <c r="D109" s="251" t="s">
        <v>55</v>
      </c>
      <c r="E109" s="252">
        <v>4000000</v>
      </c>
      <c r="F109" s="252"/>
      <c r="G109" s="252"/>
      <c r="H109" s="252"/>
      <c r="I109" s="252"/>
      <c r="J109" s="252"/>
      <c r="K109" s="252"/>
      <c r="L109" s="252"/>
      <c r="M109" s="252"/>
      <c r="N109" s="252"/>
      <c r="O109"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4000000</v>
      </c>
      <c r="P109" s="252"/>
      <c r="Q109" s="252"/>
      <c r="R109" s="252">
        <v>273812.78000000003</v>
      </c>
      <c r="S109" s="252">
        <f>+Tabla14[[#This Row],[Presupuesto total]]-Tabla14[[#This Row],[Resevas]]-Tabla14[[#This Row],[Compromisos ]]-Tabla14[[#This Row],[Ejecutado]]</f>
        <v>3726187.2199999997</v>
      </c>
      <c r="T109" s="253" t="s">
        <v>15</v>
      </c>
      <c r="U109" s="253" t="s">
        <v>185</v>
      </c>
      <c r="V109" s="253" t="s">
        <v>186</v>
      </c>
      <c r="W109" s="254" t="s">
        <v>187</v>
      </c>
      <c r="X109" s="255" t="s">
        <v>188</v>
      </c>
      <c r="Y109" s="254" t="s">
        <v>187</v>
      </c>
      <c r="Z109" s="255" t="s">
        <v>189</v>
      </c>
      <c r="AA109" s="259" t="s">
        <v>412</v>
      </c>
      <c r="AB109" s="259"/>
    </row>
    <row r="110" spans="2:28" ht="40.5" x14ac:dyDescent="0.25">
      <c r="B110" s="249" t="s">
        <v>379</v>
      </c>
      <c r="C110" s="256" t="s">
        <v>408</v>
      </c>
      <c r="D110" s="251" t="s">
        <v>55</v>
      </c>
      <c r="E110" s="252">
        <v>4000000</v>
      </c>
      <c r="F110" s="252"/>
      <c r="G110" s="252"/>
      <c r="H110" s="252"/>
      <c r="I110" s="252"/>
      <c r="J110" s="252"/>
      <c r="K110" s="252"/>
      <c r="L110" s="252"/>
      <c r="M110" s="252">
        <v>3000000</v>
      </c>
      <c r="N110" s="252"/>
      <c r="O110"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7000000</v>
      </c>
      <c r="P110" s="252"/>
      <c r="Q110" s="252"/>
      <c r="R110" s="252">
        <v>4392508.74</v>
      </c>
      <c r="S110" s="252">
        <f>+Tabla14[[#This Row],[Presupuesto total]]-Tabla14[[#This Row],[Resevas]]-Tabla14[[#This Row],[Compromisos ]]-Tabla14[[#This Row],[Ejecutado]]</f>
        <v>2607491.2599999998</v>
      </c>
      <c r="T110" s="253" t="s">
        <v>15</v>
      </c>
      <c r="U110" s="253" t="s">
        <v>191</v>
      </c>
      <c r="V110" s="253" t="s">
        <v>192</v>
      </c>
      <c r="W110" s="254" t="s">
        <v>193</v>
      </c>
      <c r="X110" s="255" t="s">
        <v>194</v>
      </c>
      <c r="Y110" s="254" t="s">
        <v>195</v>
      </c>
      <c r="Z110" s="255" t="s">
        <v>196</v>
      </c>
      <c r="AA110" s="259" t="s">
        <v>413</v>
      </c>
      <c r="AB110" s="259"/>
    </row>
    <row r="111" spans="2:28" ht="69.75" customHeight="1" x14ac:dyDescent="0.25">
      <c r="B111" s="249" t="s">
        <v>379</v>
      </c>
      <c r="C111" s="260" t="s">
        <v>414</v>
      </c>
      <c r="D111" s="251" t="s">
        <v>415</v>
      </c>
      <c r="E111" s="261">
        <v>53774445</v>
      </c>
      <c r="F111" s="261"/>
      <c r="G111" s="261"/>
      <c r="H111" s="261"/>
      <c r="I111" s="261"/>
      <c r="J111" s="261"/>
      <c r="K111" s="261">
        <v>-53774445</v>
      </c>
      <c r="L111" s="261"/>
      <c r="M111" s="261"/>
      <c r="N111" s="261"/>
      <c r="O111"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0</v>
      </c>
      <c r="P111" s="252">
        <v>0</v>
      </c>
      <c r="Q111" s="252">
        <v>0</v>
      </c>
      <c r="R111" s="252">
        <v>0</v>
      </c>
      <c r="S111" s="252">
        <f>+Tabla14[[#This Row],[Presupuesto total]]-Tabla14[[#This Row],[Resevas]]-Tabla14[[#This Row],[Compromisos ]]-Tabla14[[#This Row],[Ejecutado]]</f>
        <v>0</v>
      </c>
      <c r="T111" s="253" t="s">
        <v>16</v>
      </c>
      <c r="U111" s="253" t="s">
        <v>185</v>
      </c>
      <c r="V111" s="253" t="s">
        <v>387</v>
      </c>
      <c r="W111" s="254" t="s">
        <v>388</v>
      </c>
      <c r="X111" s="255" t="s">
        <v>389</v>
      </c>
      <c r="Y111" s="254" t="s">
        <v>390</v>
      </c>
      <c r="Z111" s="254" t="s">
        <v>391</v>
      </c>
      <c r="AA111" s="255" t="s">
        <v>416</v>
      </c>
      <c r="AB111" s="254"/>
    </row>
    <row r="112" spans="2:28" ht="70.5" customHeight="1" x14ac:dyDescent="0.25">
      <c r="B112" s="249" t="s">
        <v>379</v>
      </c>
      <c r="C112" s="260" t="s">
        <v>414</v>
      </c>
      <c r="D112" s="251" t="s">
        <v>415</v>
      </c>
      <c r="E112" s="261"/>
      <c r="F112" s="252"/>
      <c r="G112" s="252"/>
      <c r="H112" s="252"/>
      <c r="I112" s="252"/>
      <c r="J112" s="252"/>
      <c r="K112" s="252">
        <v>53774445</v>
      </c>
      <c r="L112" s="252"/>
      <c r="M112" s="252">
        <v>-20979953</v>
      </c>
      <c r="N112" s="252"/>
      <c r="O112"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32794492</v>
      </c>
      <c r="P112" s="252"/>
      <c r="Q112" s="252"/>
      <c r="R112" s="252">
        <v>32794492</v>
      </c>
      <c r="S112" s="252">
        <f>+Tabla14[[#This Row],[Presupuesto total]]-Tabla14[[#This Row],[Resevas]]-Tabla14[[#This Row],[Compromisos ]]-Tabla14[[#This Row],[Ejecutado]]</f>
        <v>0</v>
      </c>
      <c r="T112" s="253" t="s">
        <v>59</v>
      </c>
      <c r="U112" s="253" t="s">
        <v>185</v>
      </c>
      <c r="V112" s="253" t="s">
        <v>387</v>
      </c>
      <c r="W112" s="254" t="s">
        <v>393</v>
      </c>
      <c r="X112" s="255"/>
      <c r="Y112" s="254" t="s">
        <v>390</v>
      </c>
      <c r="Z112" s="254"/>
      <c r="AA112" s="255" t="s">
        <v>417</v>
      </c>
      <c r="AB112" s="254"/>
    </row>
    <row r="113" spans="2:28" ht="51" customHeight="1" x14ac:dyDescent="0.25">
      <c r="B113" s="249" t="s">
        <v>379</v>
      </c>
      <c r="C113" s="260" t="s">
        <v>418</v>
      </c>
      <c r="D113" s="251" t="s">
        <v>419</v>
      </c>
      <c r="E113" s="261">
        <v>11187581</v>
      </c>
      <c r="F113" s="261"/>
      <c r="G113" s="261"/>
      <c r="H113" s="261"/>
      <c r="I113" s="261"/>
      <c r="J113" s="261"/>
      <c r="K113" s="261">
        <v>-11187581</v>
      </c>
      <c r="L113" s="261"/>
      <c r="M113" s="261"/>
      <c r="N113" s="261"/>
      <c r="O113"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0</v>
      </c>
      <c r="P113" s="252">
        <v>0</v>
      </c>
      <c r="Q113" s="252">
        <v>0</v>
      </c>
      <c r="R113" s="252"/>
      <c r="S113" s="252">
        <f>+Tabla14[[#This Row],[Presupuesto total]]-Tabla14[[#This Row],[Resevas]]-Tabla14[[#This Row],[Compromisos ]]-Tabla14[[#This Row],[Ejecutado]]</f>
        <v>0</v>
      </c>
      <c r="T113" s="253" t="s">
        <v>16</v>
      </c>
      <c r="U113" s="253" t="s">
        <v>185</v>
      </c>
      <c r="V113" s="253" t="s">
        <v>387</v>
      </c>
      <c r="W113" s="254" t="s">
        <v>388</v>
      </c>
      <c r="X113" s="255" t="s">
        <v>389</v>
      </c>
      <c r="Y113" s="254" t="s">
        <v>390</v>
      </c>
      <c r="Z113" s="254" t="s">
        <v>391</v>
      </c>
      <c r="AA113" s="255" t="s">
        <v>392</v>
      </c>
      <c r="AB113" s="254"/>
    </row>
    <row r="114" spans="2:28" ht="51" customHeight="1" x14ac:dyDescent="0.25">
      <c r="B114" s="249" t="s">
        <v>379</v>
      </c>
      <c r="C114" s="260" t="s">
        <v>418</v>
      </c>
      <c r="D114" s="251" t="s">
        <v>419</v>
      </c>
      <c r="E114" s="261"/>
      <c r="F114" s="252"/>
      <c r="G114" s="252"/>
      <c r="H114" s="252"/>
      <c r="I114" s="252"/>
      <c r="J114" s="252"/>
      <c r="K114" s="252">
        <v>11187581</v>
      </c>
      <c r="L114" s="252"/>
      <c r="M114" s="252"/>
      <c r="N114" s="252"/>
      <c r="O114"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11187581</v>
      </c>
      <c r="P114" s="252"/>
      <c r="Q114" s="252">
        <v>11187581</v>
      </c>
      <c r="R114" s="252"/>
      <c r="S114" s="252">
        <f>+Tabla14[[#This Row],[Presupuesto total]]-Tabla14[[#This Row],[Resevas]]-Tabla14[[#This Row],[Compromisos ]]-Tabla14[[#This Row],[Ejecutado]]</f>
        <v>0</v>
      </c>
      <c r="T114" s="253" t="s">
        <v>59</v>
      </c>
      <c r="U114" s="253" t="s">
        <v>185</v>
      </c>
      <c r="V114" s="253" t="s">
        <v>387</v>
      </c>
      <c r="W114" s="254" t="s">
        <v>393</v>
      </c>
      <c r="X114" s="255"/>
      <c r="Y114" s="254" t="s">
        <v>390</v>
      </c>
      <c r="Z114" s="254"/>
      <c r="AA114" s="255" t="s">
        <v>394</v>
      </c>
      <c r="AB114" s="254"/>
    </row>
    <row r="115" spans="2:28" ht="27" x14ac:dyDescent="0.25">
      <c r="B115" s="254" t="s">
        <v>379</v>
      </c>
      <c r="C115" s="256" t="s">
        <v>420</v>
      </c>
      <c r="D115" s="255" t="s">
        <v>421</v>
      </c>
      <c r="E115" s="252">
        <v>2500000</v>
      </c>
      <c r="F115" s="252"/>
      <c r="G115" s="252"/>
      <c r="H115" s="252"/>
      <c r="I115" s="252"/>
      <c r="J115" s="252"/>
      <c r="K115" s="252"/>
      <c r="L115" s="252"/>
      <c r="M115" s="252"/>
      <c r="N115" s="252"/>
      <c r="O115"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2500000</v>
      </c>
      <c r="P115" s="252">
        <v>0</v>
      </c>
      <c r="Q115" s="252">
        <v>0</v>
      </c>
      <c r="R115" s="252">
        <v>0</v>
      </c>
      <c r="S115" s="252">
        <f>+Tabla14[[#This Row],[Presupuesto total]]-Tabla14[[#This Row],[Resevas]]-Tabla14[[#This Row],[Compromisos ]]-Tabla14[[#This Row],[Ejecutado]]</f>
        <v>2500000</v>
      </c>
      <c r="T115" s="257" t="s">
        <v>15</v>
      </c>
      <c r="U115" s="253" t="s">
        <v>191</v>
      </c>
      <c r="V115" s="253" t="s">
        <v>335</v>
      </c>
      <c r="W115" s="258" t="s">
        <v>336</v>
      </c>
      <c r="X115" s="254" t="s">
        <v>337</v>
      </c>
      <c r="Y115" s="254" t="s">
        <v>338</v>
      </c>
      <c r="Z115" s="254" t="s">
        <v>339</v>
      </c>
      <c r="AA115" s="255" t="s">
        <v>422</v>
      </c>
      <c r="AB115" s="255" t="s">
        <v>423</v>
      </c>
    </row>
    <row r="116" spans="2:28" ht="67.5" x14ac:dyDescent="0.25">
      <c r="B116" s="254" t="s">
        <v>379</v>
      </c>
      <c r="C116" s="256" t="s">
        <v>424</v>
      </c>
      <c r="D116" s="255" t="s">
        <v>425</v>
      </c>
      <c r="E116" s="252">
        <v>5733333.3300000001</v>
      </c>
      <c r="F116" s="252"/>
      <c r="G116" s="252"/>
      <c r="H116" s="252"/>
      <c r="I116" s="252">
        <v>4067000</v>
      </c>
      <c r="J116" s="252"/>
      <c r="K116" s="252"/>
      <c r="L116" s="252"/>
      <c r="M116" s="252"/>
      <c r="N116" s="252"/>
      <c r="O116"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9800333.3300000001</v>
      </c>
      <c r="P116" s="252">
        <v>0</v>
      </c>
      <c r="Q116" s="252">
        <v>0</v>
      </c>
      <c r="R116" s="252">
        <f>9800000+276</f>
        <v>9800276</v>
      </c>
      <c r="S116" s="252">
        <f>+Tabla14[[#This Row],[Presupuesto total]]-Tabla14[[#This Row],[Resevas]]-Tabla14[[#This Row],[Compromisos ]]-Tabla14[[#This Row],[Ejecutado]]</f>
        <v>57.330000000074506</v>
      </c>
      <c r="T116" s="257" t="s">
        <v>15</v>
      </c>
      <c r="U116" s="253" t="s">
        <v>191</v>
      </c>
      <c r="V116" s="253" t="s">
        <v>279</v>
      </c>
      <c r="W116" s="254" t="s">
        <v>280</v>
      </c>
      <c r="X116" s="254" t="s">
        <v>281</v>
      </c>
      <c r="Y116" s="254" t="s">
        <v>282</v>
      </c>
      <c r="Z116" s="254" t="s">
        <v>283</v>
      </c>
      <c r="AA116" s="255" t="s">
        <v>566</v>
      </c>
      <c r="AB116" s="254"/>
    </row>
    <row r="117" spans="2:28" ht="40.5" x14ac:dyDescent="0.25">
      <c r="B117" s="254" t="s">
        <v>379</v>
      </c>
      <c r="C117" s="256" t="s">
        <v>424</v>
      </c>
      <c r="D117" s="255" t="s">
        <v>425</v>
      </c>
      <c r="E117" s="252"/>
      <c r="F117" s="252"/>
      <c r="G117" s="252"/>
      <c r="H117" s="252"/>
      <c r="I117" s="252"/>
      <c r="J117" s="252">
        <v>187500</v>
      </c>
      <c r="K117" s="252"/>
      <c r="L117" s="252"/>
      <c r="M117" s="252"/>
      <c r="N117" s="252"/>
      <c r="O117"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187500</v>
      </c>
      <c r="P117" s="252"/>
      <c r="Q117" s="252">
        <v>0</v>
      </c>
      <c r="R117" s="252">
        <f>186708+792</f>
        <v>187500</v>
      </c>
      <c r="S117" s="252">
        <f>+Tabla14[[#This Row],[Presupuesto total]]-Tabla14[[#This Row],[Resevas]]-Tabla14[[#This Row],[Compromisos ]]-Tabla14[[#This Row],[Ejecutado]]</f>
        <v>0</v>
      </c>
      <c r="T117" s="253" t="s">
        <v>15</v>
      </c>
      <c r="U117" s="253" t="s">
        <v>185</v>
      </c>
      <c r="V117" s="253" t="s">
        <v>291</v>
      </c>
      <c r="W117" s="254" t="s">
        <v>292</v>
      </c>
      <c r="X117" s="254" t="s">
        <v>293</v>
      </c>
      <c r="Y117" s="254" t="s">
        <v>292</v>
      </c>
      <c r="Z117" s="254" t="s">
        <v>294</v>
      </c>
      <c r="AA117" s="255" t="s">
        <v>426</v>
      </c>
      <c r="AB117" s="254"/>
    </row>
    <row r="118" spans="2:28" ht="54" x14ac:dyDescent="0.25">
      <c r="B118" s="249" t="s">
        <v>427</v>
      </c>
      <c r="C118" s="251" t="s">
        <v>428</v>
      </c>
      <c r="D118" s="251" t="s">
        <v>429</v>
      </c>
      <c r="E118" s="252">
        <v>17715640.949999999</v>
      </c>
      <c r="F118" s="252"/>
      <c r="G118" s="252"/>
      <c r="H118" s="252"/>
      <c r="I118" s="252">
        <v>-16361000</v>
      </c>
      <c r="J118" s="252">
        <v>-187500</v>
      </c>
      <c r="K118" s="252"/>
      <c r="L118" s="252"/>
      <c r="M118" s="252">
        <v>-216300</v>
      </c>
      <c r="N118" s="252"/>
      <c r="O118"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950840.94999999925</v>
      </c>
      <c r="P118" s="252"/>
      <c r="Q118" s="252">
        <v>0</v>
      </c>
      <c r="R118" s="252">
        <v>0</v>
      </c>
      <c r="S118" s="252">
        <f>+Tabla14[[#This Row],[Presupuesto total]]-Tabla14[[#This Row],[Resevas]]-Tabla14[[#This Row],[Compromisos ]]-Tabla14[[#This Row],[Ejecutado]]</f>
        <v>950840.94999999925</v>
      </c>
      <c r="T118" s="253" t="s">
        <v>15</v>
      </c>
      <c r="U118" s="253" t="s">
        <v>185</v>
      </c>
      <c r="V118" s="253" t="s">
        <v>186</v>
      </c>
      <c r="W118" s="254" t="s">
        <v>187</v>
      </c>
      <c r="X118" s="255" t="s">
        <v>188</v>
      </c>
      <c r="Y118" s="254" t="s">
        <v>187</v>
      </c>
      <c r="Z118" s="255" t="s">
        <v>189</v>
      </c>
      <c r="AA118" s="255" t="s">
        <v>430</v>
      </c>
      <c r="AB118" s="255"/>
    </row>
    <row r="119" spans="2:28" ht="40.5" x14ac:dyDescent="0.25">
      <c r="B119" s="249" t="s">
        <v>427</v>
      </c>
      <c r="C119" s="251" t="s">
        <v>428</v>
      </c>
      <c r="D119" s="251" t="s">
        <v>429</v>
      </c>
      <c r="E119" s="252">
        <v>20899230.359999999</v>
      </c>
      <c r="F119" s="252">
        <v>-3380000</v>
      </c>
      <c r="G119" s="252"/>
      <c r="H119" s="252"/>
      <c r="I119" s="252">
        <v>-8746448.0600000005</v>
      </c>
      <c r="J119" s="252"/>
      <c r="K119" s="252"/>
      <c r="L119" s="252"/>
      <c r="M119" s="252">
        <v>-8220000</v>
      </c>
      <c r="N119" s="252"/>
      <c r="O119" s="252">
        <f>+Tabla14[[#This Row],[Escenario 5: Monto ajustado aprobado por la CGR]]+Tabla14[[#This Row],[Modificación 01-2021]]+Tabla14[[#This Row],[MN01-2021]]+Tabla14[[#This Row],[MN02-2022]]+Tabla14[[#This Row],[Modificación 02-2021]]+Tabla14[[#This Row],[Modificación 03-2021]]+Tabla14[[#This Row],[PE-01-2021]]+Tabla14[[#This Row],[MN03-20221]]+Tabla14[[#This Row],[Modificación 04-2021]]+Tabla14[[#This Row],[MN04-202212]]</f>
        <v>552782.29999999888</v>
      </c>
      <c r="P119" s="252"/>
      <c r="Q119" s="252">
        <v>0</v>
      </c>
      <c r="R119" s="252">
        <v>0</v>
      </c>
      <c r="S119" s="252">
        <f>+Tabla14[[#This Row],[Presupuesto total]]-Tabla14[[#This Row],[Resevas]]-Tabla14[[#This Row],[Compromisos ]]-Tabla14[[#This Row],[Ejecutado]]</f>
        <v>552782.29999999888</v>
      </c>
      <c r="T119" s="253" t="s">
        <v>15</v>
      </c>
      <c r="U119" s="253" t="s">
        <v>191</v>
      </c>
      <c r="V119" s="253" t="s">
        <v>192</v>
      </c>
      <c r="W119" s="254" t="s">
        <v>193</v>
      </c>
      <c r="X119" s="255" t="s">
        <v>194</v>
      </c>
      <c r="Y119" s="254" t="s">
        <v>195</v>
      </c>
      <c r="Z119" s="255" t="s">
        <v>196</v>
      </c>
      <c r="AA119" s="255" t="s">
        <v>430</v>
      </c>
      <c r="AB119" s="255"/>
    </row>
    <row r="120" spans="2:28" s="270" customFormat="1" ht="15" x14ac:dyDescent="0.25">
      <c r="B120" s="263"/>
      <c r="C120" s="264"/>
      <c r="D120" s="264"/>
      <c r="E120" s="265">
        <f>SUBTOTAL(109,Tabla14[Escenario 5: Monto ajustado aprobado por la CGR])</f>
        <v>1828789575.8200002</v>
      </c>
      <c r="F120" s="265">
        <f>SUBTOTAL(109,Tabla14[Modificación 01-2021])</f>
        <v>0</v>
      </c>
      <c r="G120" s="265">
        <f>SUBTOTAL(109,Tabla14[MN01-2021])</f>
        <v>0</v>
      </c>
      <c r="H120" s="265">
        <f>SUBTOTAL(109,Tabla14[MN02-2022])</f>
        <v>0</v>
      </c>
      <c r="I120" s="265">
        <f>SUBTOTAL(109,Tabla14[Modificación 02-2021])</f>
        <v>0</v>
      </c>
      <c r="J120" s="265">
        <f>SUBTOTAL(109,Tabla14[Modificación 03-2021])</f>
        <v>0</v>
      </c>
      <c r="K120" s="265">
        <f>SUBTOTAL(109,Tabla14[PE-01-2021])</f>
        <v>9111309.5100000054</v>
      </c>
      <c r="L120" s="265">
        <f>SUBTOTAL(109,Tabla14[MN03-20221])</f>
        <v>0</v>
      </c>
      <c r="M120" s="265">
        <f>SUBTOTAL(109,Tabla14[Modificación 04-2021])</f>
        <v>0</v>
      </c>
      <c r="N120" s="265"/>
      <c r="O120" s="265">
        <f>SUBTOTAL(109,Tabla14[Presupuesto total])</f>
        <v>1837900885.3300002</v>
      </c>
      <c r="P120" s="265">
        <f>SUBTOTAL(109,Tabla14[Resevas])</f>
        <v>94469673.600000009</v>
      </c>
      <c r="Q120" s="265">
        <f>SUBTOTAL(109,Tabla14[[Compromisos ]])</f>
        <v>119291491.45</v>
      </c>
      <c r="R120" s="265">
        <f>SUBTOTAL(109,Tabla14[Ejecutado])</f>
        <v>1197381135.9200001</v>
      </c>
      <c r="S120" s="265">
        <f>SUBTOTAL(109,Tabla14[Saldo disponible])</f>
        <v>426758584.36000013</v>
      </c>
      <c r="T120" s="266"/>
      <c r="U120" s="266"/>
      <c r="V120" s="266"/>
      <c r="W120" s="267"/>
      <c r="X120" s="268"/>
      <c r="Y120" s="267"/>
      <c r="Z120" s="268"/>
      <c r="AA120" s="16"/>
      <c r="AB120" s="269"/>
    </row>
    <row r="121" spans="2:28" s="270" customFormat="1" x14ac:dyDescent="0.25">
      <c r="B121" s="271"/>
      <c r="C121" s="272"/>
      <c r="D121" s="272"/>
      <c r="E121" s="269"/>
      <c r="F121" s="269"/>
      <c r="G121" s="269"/>
      <c r="H121" s="269"/>
      <c r="I121" s="269"/>
      <c r="J121" s="269"/>
      <c r="K121" s="269"/>
      <c r="L121" s="269"/>
      <c r="M121" s="269"/>
      <c r="N121" s="269"/>
      <c r="O121" s="269"/>
      <c r="P121" s="269"/>
      <c r="Q121" s="269"/>
      <c r="R121" s="269"/>
      <c r="S121" s="269"/>
      <c r="T121" s="273"/>
      <c r="U121" s="273"/>
      <c r="V121" s="273"/>
      <c r="W121" s="274"/>
      <c r="X121" s="275"/>
      <c r="AA121" s="269"/>
      <c r="AB121" s="269"/>
    </row>
    <row r="122" spans="2:28" s="270" customFormat="1" x14ac:dyDescent="0.25">
      <c r="B122" s="271"/>
      <c r="C122" s="272"/>
      <c r="D122" s="272"/>
      <c r="E122" s="276"/>
      <c r="F122" s="276"/>
      <c r="G122" s="276"/>
      <c r="H122" s="276"/>
      <c r="I122" s="276"/>
      <c r="J122" s="276"/>
      <c r="K122" s="276"/>
      <c r="L122" s="276"/>
      <c r="M122" s="276"/>
      <c r="N122" s="276"/>
      <c r="O122" s="276"/>
      <c r="P122" s="276">
        <v>33346759.010000002</v>
      </c>
      <c r="Q122" s="276"/>
      <c r="R122" s="276"/>
      <c r="S122" s="276"/>
      <c r="T122" s="273"/>
      <c r="U122" s="273"/>
      <c r="V122" s="273"/>
      <c r="W122" s="274"/>
      <c r="X122" s="275"/>
      <c r="AA122" s="269"/>
      <c r="AB122" s="269"/>
    </row>
    <row r="123" spans="2:28" s="270" customFormat="1" x14ac:dyDescent="0.25">
      <c r="B123" s="271"/>
      <c r="C123" s="272"/>
      <c r="D123" s="272"/>
      <c r="E123" s="276"/>
      <c r="F123" s="276"/>
      <c r="G123" s="276"/>
      <c r="H123" s="276"/>
      <c r="I123" s="276"/>
      <c r="J123" s="276"/>
      <c r="K123" s="276"/>
      <c r="L123" s="276"/>
      <c r="M123" s="276"/>
      <c r="N123" s="276"/>
      <c r="O123" s="276"/>
      <c r="P123" s="276">
        <f>+Tabla14[[#Totals],[Resevas]]-P122</f>
        <v>61122914.590000004</v>
      </c>
      <c r="Q123" s="276"/>
      <c r="R123" s="414">
        <f>+Tabla14[[#Totals],[Ejecutado]]/Tabla14[[#Totals],[Presupuesto total]]</f>
        <v>0.65149385664777404</v>
      </c>
      <c r="S123" s="414"/>
      <c r="T123" s="273"/>
      <c r="U123" s="273"/>
      <c r="V123" s="273"/>
      <c r="W123" s="274"/>
      <c r="X123" s="275"/>
      <c r="AA123" s="269"/>
      <c r="AB123" s="269"/>
    </row>
    <row r="124" spans="2:28" s="270" customFormat="1" x14ac:dyDescent="0.25">
      <c r="B124" s="271"/>
      <c r="C124" s="272"/>
      <c r="D124" s="272"/>
      <c r="E124" s="277"/>
      <c r="F124" s="277"/>
      <c r="G124" s="277"/>
      <c r="H124" s="277"/>
      <c r="I124" s="277"/>
      <c r="J124" s="277"/>
      <c r="K124" s="277"/>
      <c r="L124" s="277"/>
      <c r="M124" s="277"/>
      <c r="N124" s="277"/>
      <c r="O124" s="277"/>
      <c r="P124" s="277"/>
      <c r="Q124" s="277"/>
      <c r="R124" s="277">
        <f>+Tabla14[[#Totals],[Presupuesto total]]-Tabla14[[#Totals],[Ejecutado]]</f>
        <v>640519749.41000009</v>
      </c>
      <c r="S124" s="277"/>
      <c r="T124" s="273"/>
      <c r="U124" s="273"/>
      <c r="V124" s="273"/>
      <c r="W124" s="274"/>
      <c r="X124" s="275"/>
      <c r="AA124" s="278"/>
      <c r="AB124" s="269"/>
    </row>
    <row r="125" spans="2:28" s="270" customFormat="1" x14ac:dyDescent="0.25">
      <c r="B125" s="271"/>
      <c r="C125" s="272"/>
      <c r="D125" s="272"/>
      <c r="E125" s="277"/>
      <c r="F125" s="277"/>
      <c r="G125" s="277"/>
      <c r="H125" s="277"/>
      <c r="I125" s="277"/>
      <c r="J125" s="277"/>
      <c r="K125" s="277"/>
      <c r="L125" s="277"/>
      <c r="M125" s="277"/>
      <c r="N125" s="277"/>
      <c r="O125" s="277"/>
      <c r="P125" s="277"/>
      <c r="Q125" s="277"/>
      <c r="R125" s="277">
        <f>+Tabla14[[#Totals],[Resevas]]+Tabla14[[#Totals],[Compromisos ]]</f>
        <v>213761165.05000001</v>
      </c>
      <c r="S125" s="277"/>
      <c r="T125" s="273"/>
      <c r="U125" s="273"/>
      <c r="V125" s="273"/>
      <c r="W125" s="274"/>
      <c r="X125" s="275"/>
      <c r="AA125" s="278"/>
      <c r="AB125" s="269"/>
    </row>
    <row r="126" spans="2:28" s="270" customFormat="1" x14ac:dyDescent="0.25">
      <c r="B126" s="271"/>
      <c r="C126" s="272"/>
      <c r="D126" s="279"/>
      <c r="E126" s="277"/>
      <c r="F126" s="277"/>
      <c r="G126" s="277"/>
      <c r="H126" s="277"/>
      <c r="I126" s="277"/>
      <c r="J126" s="277"/>
      <c r="K126" s="277"/>
      <c r="L126" s="277"/>
      <c r="M126" s="277"/>
      <c r="N126" s="277"/>
      <c r="O126" s="277"/>
      <c r="P126" s="277"/>
      <c r="Q126" s="277"/>
      <c r="R126" s="277">
        <f>+R125/1000000</f>
        <v>213.76116505000002</v>
      </c>
      <c r="S126" s="277"/>
      <c r="T126" s="280"/>
      <c r="U126" s="280"/>
      <c r="V126" s="280"/>
      <c r="W126" s="274"/>
      <c r="X126" s="275"/>
      <c r="AA126" s="278"/>
      <c r="AB126" s="269"/>
    </row>
    <row r="127" spans="2:28" s="270" customFormat="1" x14ac:dyDescent="0.25">
      <c r="B127" s="271"/>
      <c r="C127" s="272"/>
      <c r="D127" s="279"/>
      <c r="E127" s="277"/>
      <c r="F127" s="277"/>
      <c r="G127" s="277"/>
      <c r="H127" s="277"/>
      <c r="I127" s="277"/>
      <c r="J127" s="277"/>
      <c r="K127" s="277"/>
      <c r="L127" s="277"/>
      <c r="M127" s="277"/>
      <c r="N127" s="277"/>
      <c r="O127" s="277"/>
      <c r="P127" s="277"/>
      <c r="Q127" s="277"/>
      <c r="R127" s="277"/>
      <c r="S127" s="277"/>
      <c r="T127" s="281"/>
      <c r="U127" s="281"/>
      <c r="V127" s="281"/>
      <c r="W127" s="274"/>
      <c r="X127" s="275"/>
      <c r="AA127" s="278"/>
      <c r="AB127" s="269"/>
    </row>
    <row r="128" spans="2:28" s="270" customFormat="1" x14ac:dyDescent="0.25">
      <c r="B128" s="271"/>
      <c r="C128" s="272"/>
      <c r="D128" s="272"/>
      <c r="E128" s="282"/>
      <c r="F128" s="282"/>
      <c r="G128" s="282"/>
      <c r="H128" s="282"/>
      <c r="I128" s="282"/>
      <c r="J128" s="282"/>
      <c r="K128" s="282"/>
      <c r="L128" s="282"/>
      <c r="M128" s="282"/>
      <c r="N128" s="282"/>
      <c r="O128" s="282"/>
      <c r="P128" s="282"/>
      <c r="Q128" s="282"/>
      <c r="R128" s="282"/>
      <c r="S128" s="282"/>
      <c r="T128" s="283"/>
      <c r="U128" s="283"/>
      <c r="V128" s="283"/>
      <c r="W128" s="274"/>
      <c r="X128" s="275"/>
      <c r="AA128" s="269"/>
      <c r="AB128" s="269"/>
    </row>
    <row r="129" spans="2:28" s="270" customFormat="1" x14ac:dyDescent="0.25">
      <c r="B129" s="271"/>
      <c r="C129" s="272"/>
      <c r="D129" s="272"/>
      <c r="E129" s="284"/>
      <c r="F129" s="284"/>
      <c r="G129" s="284"/>
      <c r="H129" s="284"/>
      <c r="I129" s="284"/>
      <c r="J129" s="284"/>
      <c r="K129" s="284"/>
      <c r="L129" s="284"/>
      <c r="M129" s="284"/>
      <c r="N129" s="284"/>
      <c r="O129" s="284"/>
      <c r="P129" s="284"/>
      <c r="Q129" s="284"/>
      <c r="R129" s="284"/>
      <c r="S129" s="284"/>
      <c r="T129" s="285"/>
      <c r="U129" s="285"/>
      <c r="V129" s="285"/>
      <c r="W129" s="274"/>
      <c r="X129" s="275"/>
      <c r="AA129" s="269"/>
      <c r="AB129" s="269"/>
    </row>
    <row r="130" spans="2:28" s="270" customFormat="1" x14ac:dyDescent="0.25">
      <c r="B130" s="271"/>
      <c r="C130" s="272"/>
      <c r="D130" s="272"/>
      <c r="E130" s="286"/>
      <c r="F130" s="286"/>
      <c r="G130" s="286"/>
      <c r="H130" s="286"/>
      <c r="I130" s="286"/>
      <c r="J130" s="286"/>
      <c r="K130" s="286"/>
      <c r="L130" s="286"/>
      <c r="M130" s="286"/>
      <c r="N130" s="286"/>
      <c r="O130" s="286"/>
      <c r="P130" s="286"/>
      <c r="Q130" s="286"/>
      <c r="R130" s="286"/>
      <c r="S130" s="286"/>
      <c r="T130" s="273"/>
      <c r="U130" s="273"/>
      <c r="V130" s="273"/>
      <c r="W130" s="274"/>
      <c r="X130" s="275"/>
      <c r="AA130" s="269"/>
      <c r="AB130" s="269"/>
    </row>
    <row r="131" spans="2:28" s="270" customFormat="1" x14ac:dyDescent="0.25">
      <c r="B131" s="271"/>
      <c r="C131" s="272"/>
      <c r="D131" s="272"/>
      <c r="E131" s="269"/>
      <c r="F131" s="269"/>
      <c r="G131" s="269"/>
      <c r="H131" s="269"/>
      <c r="I131" s="269"/>
      <c r="J131" s="269"/>
      <c r="K131" s="269"/>
      <c r="L131" s="269"/>
      <c r="M131" s="269"/>
      <c r="N131" s="269"/>
      <c r="O131" s="269"/>
      <c r="P131" s="269"/>
      <c r="Q131" s="269"/>
      <c r="R131" s="269"/>
      <c r="S131" s="269"/>
      <c r="T131" s="273"/>
      <c r="U131" s="273"/>
      <c r="V131" s="273"/>
      <c r="W131" s="274"/>
      <c r="X131" s="275"/>
      <c r="AA131" s="269"/>
      <c r="AB131" s="269"/>
    </row>
    <row r="132" spans="2:28" s="270" customFormat="1" x14ac:dyDescent="0.25">
      <c r="B132" s="271"/>
      <c r="C132" s="272"/>
      <c r="D132" s="287"/>
      <c r="E132" s="288"/>
      <c r="F132" s="288"/>
      <c r="G132" s="288"/>
      <c r="H132" s="288"/>
      <c r="I132" s="288"/>
      <c r="J132" s="288"/>
      <c r="K132" s="288"/>
      <c r="L132" s="288"/>
      <c r="M132" s="288"/>
      <c r="N132" s="288"/>
      <c r="O132" s="288"/>
      <c r="P132" s="288"/>
      <c r="Q132" s="288"/>
      <c r="R132" s="288"/>
      <c r="S132" s="288"/>
      <c r="T132" s="289"/>
      <c r="U132" s="289"/>
      <c r="V132" s="289"/>
      <c r="W132" s="274"/>
      <c r="X132" s="275"/>
      <c r="AA132" s="290"/>
      <c r="AB132" s="269"/>
    </row>
    <row r="133" spans="2:28" s="270" customFormat="1" x14ac:dyDescent="0.25">
      <c r="B133" s="271"/>
      <c r="C133" s="272"/>
      <c r="D133" s="287"/>
      <c r="E133" s="269"/>
      <c r="F133" s="269"/>
      <c r="G133" s="269"/>
      <c r="H133" s="269"/>
      <c r="I133" s="269"/>
      <c r="J133" s="269"/>
      <c r="K133" s="269"/>
      <c r="L133" s="269"/>
      <c r="M133" s="269"/>
      <c r="N133" s="269"/>
      <c r="O133" s="269"/>
      <c r="P133" s="269"/>
      <c r="Q133" s="269"/>
      <c r="R133" s="269"/>
      <c r="S133" s="269"/>
      <c r="T133" s="273"/>
      <c r="U133" s="273"/>
      <c r="V133" s="273"/>
      <c r="W133" s="274"/>
      <c r="X133" s="275"/>
      <c r="AA133" s="291"/>
      <c r="AB133" s="269"/>
    </row>
    <row r="134" spans="2:28" s="270" customFormat="1" x14ac:dyDescent="0.25">
      <c r="B134" s="271"/>
      <c r="C134" s="272"/>
      <c r="D134" s="287"/>
      <c r="E134" s="269"/>
      <c r="F134" s="269"/>
      <c r="G134" s="269"/>
      <c r="H134" s="269"/>
      <c r="I134" s="269"/>
      <c r="J134" s="269"/>
      <c r="K134" s="269"/>
      <c r="L134" s="269"/>
      <c r="M134" s="269"/>
      <c r="N134" s="269"/>
      <c r="O134" s="269"/>
      <c r="P134" s="269"/>
      <c r="Q134" s="269"/>
      <c r="R134" s="269"/>
      <c r="S134" s="269"/>
      <c r="T134" s="273"/>
      <c r="U134" s="273"/>
      <c r="V134" s="273"/>
      <c r="W134" s="274"/>
      <c r="X134" s="275"/>
      <c r="AA134" s="280"/>
      <c r="AB134" s="269"/>
    </row>
    <row r="135" spans="2:28" s="270" customFormat="1" x14ac:dyDescent="0.25">
      <c r="B135" s="271"/>
      <c r="C135" s="272"/>
      <c r="D135" s="287"/>
      <c r="E135" s="269"/>
      <c r="F135" s="269"/>
      <c r="G135" s="269"/>
      <c r="H135" s="269"/>
      <c r="I135" s="269"/>
      <c r="J135" s="269"/>
      <c r="K135" s="269"/>
      <c r="L135" s="269"/>
      <c r="M135" s="269"/>
      <c r="N135" s="269"/>
      <c r="O135" s="269"/>
      <c r="P135" s="269"/>
      <c r="Q135" s="269"/>
      <c r="R135" s="269"/>
      <c r="S135" s="269"/>
      <c r="T135" s="273"/>
      <c r="U135" s="273"/>
      <c r="V135" s="273"/>
      <c r="W135" s="274"/>
      <c r="X135" s="275"/>
      <c r="AA135" s="280"/>
      <c r="AB135" s="269"/>
    </row>
    <row r="136" spans="2:28" s="270" customFormat="1" x14ac:dyDescent="0.25">
      <c r="B136" s="271"/>
      <c r="C136" s="272"/>
      <c r="D136" s="287"/>
      <c r="E136" s="269"/>
      <c r="F136" s="269"/>
      <c r="G136" s="269"/>
      <c r="H136" s="269"/>
      <c r="I136" s="269"/>
      <c r="J136" s="269"/>
      <c r="K136" s="269"/>
      <c r="L136" s="269"/>
      <c r="M136" s="269"/>
      <c r="N136" s="269"/>
      <c r="O136" s="269"/>
      <c r="P136" s="269"/>
      <c r="Q136" s="269"/>
      <c r="R136" s="269"/>
      <c r="S136" s="269"/>
      <c r="T136" s="273"/>
      <c r="U136" s="273"/>
      <c r="V136" s="273"/>
      <c r="W136" s="274"/>
      <c r="X136" s="275"/>
      <c r="AA136" s="280"/>
      <c r="AB136" s="269"/>
    </row>
    <row r="137" spans="2:28" s="270" customFormat="1" x14ac:dyDescent="0.25">
      <c r="B137" s="271"/>
      <c r="C137" s="272"/>
      <c r="D137" s="287"/>
      <c r="E137" s="269"/>
      <c r="F137" s="269"/>
      <c r="G137" s="269"/>
      <c r="H137" s="269"/>
      <c r="I137" s="269"/>
      <c r="J137" s="269"/>
      <c r="K137" s="269"/>
      <c r="L137" s="269"/>
      <c r="M137" s="269"/>
      <c r="N137" s="269"/>
      <c r="O137" s="269"/>
      <c r="P137" s="269"/>
      <c r="Q137" s="269"/>
      <c r="R137" s="269"/>
      <c r="S137" s="269"/>
      <c r="T137" s="289"/>
      <c r="U137" s="289"/>
      <c r="V137" s="289"/>
      <c r="W137" s="274"/>
      <c r="X137" s="275"/>
      <c r="AA137" s="281"/>
      <c r="AB137" s="269"/>
    </row>
    <row r="138" spans="2:28" s="270" customFormat="1" x14ac:dyDescent="0.25">
      <c r="B138" s="271"/>
      <c r="C138" s="272"/>
      <c r="D138" s="292"/>
      <c r="E138" s="269"/>
      <c r="F138" s="269"/>
      <c r="G138" s="269"/>
      <c r="H138" s="269"/>
      <c r="I138" s="269"/>
      <c r="J138" s="269"/>
      <c r="K138" s="269"/>
      <c r="L138" s="269"/>
      <c r="M138" s="269"/>
      <c r="N138" s="269"/>
      <c r="O138" s="269"/>
      <c r="P138" s="269"/>
      <c r="Q138" s="269"/>
      <c r="R138" s="269"/>
      <c r="S138" s="269"/>
      <c r="T138" s="293"/>
      <c r="U138" s="293"/>
      <c r="V138" s="293"/>
      <c r="W138" s="274"/>
      <c r="X138" s="275"/>
      <c r="AA138" s="294"/>
      <c r="AB138" s="269"/>
    </row>
    <row r="139" spans="2:28" s="270" customFormat="1" x14ac:dyDescent="0.25">
      <c r="B139" s="271"/>
      <c r="C139" s="272"/>
      <c r="D139" s="272"/>
      <c r="E139" s="269"/>
      <c r="F139" s="269"/>
      <c r="G139" s="269"/>
      <c r="H139" s="269"/>
      <c r="I139" s="269"/>
      <c r="J139" s="269"/>
      <c r="K139" s="269"/>
      <c r="L139" s="269"/>
      <c r="M139" s="269"/>
      <c r="N139" s="269"/>
      <c r="O139" s="269"/>
      <c r="P139" s="269"/>
      <c r="Q139" s="269"/>
      <c r="R139" s="269"/>
      <c r="S139" s="269"/>
      <c r="T139" s="289"/>
      <c r="U139" s="289"/>
      <c r="V139" s="289"/>
      <c r="W139" s="274"/>
      <c r="X139" s="275"/>
      <c r="AA139" s="295"/>
      <c r="AB139" s="269"/>
    </row>
    <row r="140" spans="2:28" s="270" customFormat="1" x14ac:dyDescent="0.25">
      <c r="B140" s="271"/>
      <c r="C140" s="272"/>
      <c r="D140" s="287"/>
      <c r="E140" s="269"/>
      <c r="F140" s="269"/>
      <c r="G140" s="269"/>
      <c r="H140" s="269"/>
      <c r="I140" s="269"/>
      <c r="J140" s="269"/>
      <c r="K140" s="269"/>
      <c r="L140" s="269"/>
      <c r="M140" s="269"/>
      <c r="N140" s="269"/>
      <c r="O140" s="269"/>
      <c r="P140" s="269"/>
      <c r="Q140" s="269"/>
      <c r="R140" s="269"/>
      <c r="S140" s="269"/>
      <c r="T140" s="273"/>
      <c r="U140" s="273"/>
      <c r="V140" s="273"/>
      <c r="W140" s="274"/>
      <c r="X140" s="275"/>
      <c r="AA140" s="269"/>
      <c r="AB140" s="269"/>
    </row>
    <row r="141" spans="2:28" s="270" customFormat="1" x14ac:dyDescent="0.25">
      <c r="B141" s="271"/>
      <c r="C141" s="272"/>
      <c r="D141" s="296"/>
      <c r="E141" s="269"/>
      <c r="F141" s="269"/>
      <c r="G141" s="269"/>
      <c r="H141" s="269"/>
      <c r="I141" s="269"/>
      <c r="J141" s="269"/>
      <c r="K141" s="269"/>
      <c r="L141" s="269"/>
      <c r="M141" s="269"/>
      <c r="N141" s="269"/>
      <c r="O141" s="269"/>
      <c r="P141" s="269"/>
      <c r="Q141" s="269"/>
      <c r="R141" s="269"/>
      <c r="S141" s="269"/>
      <c r="T141" s="273"/>
      <c r="U141" s="273"/>
      <c r="V141" s="273"/>
      <c r="W141" s="274"/>
      <c r="X141" s="275"/>
      <c r="AA141" s="269"/>
      <c r="AB141" s="269"/>
    </row>
    <row r="142" spans="2:28" s="270" customFormat="1" x14ac:dyDescent="0.25">
      <c r="B142" s="271"/>
      <c r="C142" s="272"/>
      <c r="D142" s="297"/>
      <c r="E142" s="288"/>
      <c r="F142" s="288"/>
      <c r="G142" s="288"/>
      <c r="H142" s="288"/>
      <c r="I142" s="288"/>
      <c r="J142" s="288"/>
      <c r="K142" s="288"/>
      <c r="L142" s="288"/>
      <c r="M142" s="288"/>
      <c r="N142" s="288"/>
      <c r="O142" s="288"/>
      <c r="P142" s="288"/>
      <c r="Q142" s="288"/>
      <c r="R142" s="288"/>
      <c r="S142" s="288"/>
      <c r="T142" s="283"/>
      <c r="U142" s="283"/>
      <c r="V142" s="283"/>
      <c r="W142" s="274"/>
      <c r="X142" s="275"/>
      <c r="AA142" s="269"/>
      <c r="AB142" s="269"/>
    </row>
    <row r="143" spans="2:28" s="270" customFormat="1" x14ac:dyDescent="0.25">
      <c r="B143" s="271"/>
      <c r="C143" s="272"/>
      <c r="D143" s="297"/>
      <c r="E143" s="269"/>
      <c r="F143" s="269"/>
      <c r="G143" s="269"/>
      <c r="H143" s="269"/>
      <c r="I143" s="269"/>
      <c r="J143" s="269"/>
      <c r="K143" s="269"/>
      <c r="L143" s="269"/>
      <c r="M143" s="269"/>
      <c r="N143" s="269"/>
      <c r="O143" s="269"/>
      <c r="P143" s="269"/>
      <c r="Q143" s="269"/>
      <c r="R143" s="269"/>
      <c r="S143" s="269"/>
      <c r="T143" s="285"/>
      <c r="U143" s="285"/>
      <c r="V143" s="285"/>
      <c r="W143" s="274"/>
      <c r="X143" s="275"/>
      <c r="AA143" s="269"/>
      <c r="AB143" s="269"/>
    </row>
    <row r="144" spans="2:28" s="270" customFormat="1" x14ac:dyDescent="0.25">
      <c r="B144" s="271"/>
      <c r="C144" s="272"/>
      <c r="D144" s="272"/>
      <c r="E144" s="269"/>
      <c r="F144" s="269"/>
      <c r="G144" s="269"/>
      <c r="H144" s="269"/>
      <c r="I144" s="269"/>
      <c r="J144" s="269"/>
      <c r="K144" s="269"/>
      <c r="L144" s="269"/>
      <c r="M144" s="269"/>
      <c r="N144" s="269"/>
      <c r="O144" s="269"/>
      <c r="P144" s="269"/>
      <c r="Q144" s="269"/>
      <c r="R144" s="269"/>
      <c r="S144" s="269"/>
      <c r="T144" s="273"/>
      <c r="U144" s="273"/>
      <c r="V144" s="273"/>
      <c r="W144" s="274"/>
      <c r="X144" s="275"/>
      <c r="AA144" s="269"/>
      <c r="AB144" s="269"/>
    </row>
    <row r="145" spans="2:28" s="270" customFormat="1" x14ac:dyDescent="0.25">
      <c r="B145" s="271"/>
      <c r="C145" s="272"/>
      <c r="D145" s="272"/>
      <c r="E145" s="269"/>
      <c r="F145" s="269"/>
      <c r="G145" s="269"/>
      <c r="H145" s="269"/>
      <c r="I145" s="269"/>
      <c r="J145" s="269"/>
      <c r="K145" s="269"/>
      <c r="L145" s="269"/>
      <c r="M145" s="269"/>
      <c r="N145" s="269"/>
      <c r="O145" s="269"/>
      <c r="P145" s="269"/>
      <c r="Q145" s="269"/>
      <c r="R145" s="269"/>
      <c r="S145" s="269"/>
      <c r="T145" s="273"/>
      <c r="U145" s="273"/>
      <c r="V145" s="273"/>
      <c r="W145" s="274"/>
      <c r="X145" s="275"/>
      <c r="AA145" s="269"/>
      <c r="AB145" s="269"/>
    </row>
    <row r="146" spans="2:28" s="270" customFormat="1" x14ac:dyDescent="0.25">
      <c r="B146" s="271"/>
      <c r="C146" s="272"/>
      <c r="D146" s="272"/>
      <c r="E146" s="269"/>
      <c r="F146" s="269"/>
      <c r="G146" s="269"/>
      <c r="H146" s="269"/>
      <c r="I146" s="269"/>
      <c r="J146" s="269"/>
      <c r="K146" s="269"/>
      <c r="L146" s="269"/>
      <c r="M146" s="269"/>
      <c r="N146" s="269"/>
      <c r="O146" s="269"/>
      <c r="P146" s="269"/>
      <c r="Q146" s="269"/>
      <c r="R146" s="269"/>
      <c r="S146" s="269"/>
      <c r="T146" s="273"/>
      <c r="U146" s="273"/>
      <c r="V146" s="273"/>
      <c r="W146" s="274"/>
      <c r="X146" s="275"/>
      <c r="AA146" s="269"/>
      <c r="AB146" s="269"/>
    </row>
    <row r="147" spans="2:28" s="270" customFormat="1" x14ac:dyDescent="0.25">
      <c r="B147" s="271"/>
      <c r="C147" s="272"/>
      <c r="D147" s="272"/>
      <c r="E147" s="269"/>
      <c r="F147" s="269"/>
      <c r="G147" s="269"/>
      <c r="H147" s="269"/>
      <c r="I147" s="269"/>
      <c r="J147" s="269"/>
      <c r="K147" s="269"/>
      <c r="L147" s="269"/>
      <c r="M147" s="269"/>
      <c r="N147" s="269"/>
      <c r="O147" s="269"/>
      <c r="P147" s="269"/>
      <c r="Q147" s="269"/>
      <c r="R147" s="269"/>
      <c r="S147" s="269"/>
      <c r="T147" s="273"/>
      <c r="U147" s="273"/>
      <c r="V147" s="273"/>
      <c r="W147" s="274"/>
      <c r="X147" s="275"/>
      <c r="AA147" s="269"/>
      <c r="AB147" s="269"/>
    </row>
    <row r="148" spans="2:28" s="270" customFormat="1" x14ac:dyDescent="0.25">
      <c r="B148" s="271"/>
      <c r="C148" s="272"/>
      <c r="D148" s="272"/>
      <c r="E148" s="269"/>
      <c r="F148" s="269"/>
      <c r="G148" s="269"/>
      <c r="H148" s="269"/>
      <c r="I148" s="269"/>
      <c r="J148" s="269"/>
      <c r="K148" s="269"/>
      <c r="L148" s="269"/>
      <c r="M148" s="269"/>
      <c r="N148" s="269"/>
      <c r="O148" s="269"/>
      <c r="P148" s="269"/>
      <c r="Q148" s="269"/>
      <c r="R148" s="269"/>
      <c r="S148" s="269"/>
      <c r="T148" s="273"/>
      <c r="U148" s="273"/>
      <c r="V148" s="273"/>
      <c r="W148" s="274"/>
      <c r="X148" s="275"/>
      <c r="AA148" s="269"/>
      <c r="AB148" s="269"/>
    </row>
    <row r="149" spans="2:28" s="270" customFormat="1" x14ac:dyDescent="0.25">
      <c r="B149" s="271"/>
      <c r="C149" s="272"/>
      <c r="D149" s="272"/>
      <c r="E149" s="269"/>
      <c r="F149" s="269"/>
      <c r="G149" s="269"/>
      <c r="H149" s="269"/>
      <c r="I149" s="269"/>
      <c r="J149" s="269"/>
      <c r="K149" s="269"/>
      <c r="L149" s="269"/>
      <c r="M149" s="269"/>
      <c r="N149" s="269"/>
      <c r="O149" s="269"/>
      <c r="P149" s="269"/>
      <c r="Q149" s="269"/>
      <c r="R149" s="269"/>
      <c r="S149" s="269"/>
      <c r="T149" s="273"/>
      <c r="U149" s="273"/>
      <c r="V149" s="273"/>
      <c r="W149" s="274"/>
      <c r="X149" s="275"/>
      <c r="AA149" s="269"/>
      <c r="AB149" s="269"/>
    </row>
    <row r="150" spans="2:28" s="270" customFormat="1" x14ac:dyDescent="0.25">
      <c r="B150" s="271"/>
      <c r="C150" s="272"/>
      <c r="D150" s="272"/>
      <c r="E150" s="269"/>
      <c r="F150" s="269"/>
      <c r="G150" s="269"/>
      <c r="H150" s="269"/>
      <c r="I150" s="269"/>
      <c r="J150" s="269"/>
      <c r="K150" s="269"/>
      <c r="L150" s="269"/>
      <c r="M150" s="269"/>
      <c r="N150" s="269"/>
      <c r="O150" s="269"/>
      <c r="P150" s="269"/>
      <c r="Q150" s="269"/>
      <c r="R150" s="269"/>
      <c r="S150" s="269"/>
      <c r="T150" s="273"/>
      <c r="U150" s="273"/>
      <c r="V150" s="273"/>
      <c r="W150" s="274"/>
      <c r="X150" s="275"/>
      <c r="AA150" s="269"/>
      <c r="AB150" s="269"/>
    </row>
    <row r="151" spans="2:28" s="270" customFormat="1" x14ac:dyDescent="0.25">
      <c r="B151" s="271"/>
      <c r="C151" s="272"/>
      <c r="D151" s="272"/>
      <c r="E151" s="269"/>
      <c r="F151" s="269"/>
      <c r="G151" s="269"/>
      <c r="H151" s="269"/>
      <c r="I151" s="269"/>
      <c r="J151" s="269"/>
      <c r="K151" s="269"/>
      <c r="L151" s="269"/>
      <c r="M151" s="269"/>
      <c r="N151" s="269"/>
      <c r="O151" s="269"/>
      <c r="P151" s="269"/>
      <c r="Q151" s="269"/>
      <c r="R151" s="269"/>
      <c r="S151" s="269"/>
      <c r="T151" s="273"/>
      <c r="U151" s="273"/>
      <c r="V151" s="273"/>
      <c r="W151" s="274"/>
      <c r="X151" s="275"/>
      <c r="AA151" s="269"/>
      <c r="AB151" s="269"/>
    </row>
    <row r="152" spans="2:28" s="270" customFormat="1" x14ac:dyDescent="0.25">
      <c r="B152" s="271"/>
      <c r="C152" s="272"/>
      <c r="D152" s="272"/>
      <c r="E152" s="269"/>
      <c r="F152" s="269"/>
      <c r="G152" s="269"/>
      <c r="H152" s="269"/>
      <c r="I152" s="269"/>
      <c r="J152" s="269"/>
      <c r="K152" s="269"/>
      <c r="L152" s="269"/>
      <c r="M152" s="269"/>
      <c r="N152" s="269"/>
      <c r="O152" s="269"/>
      <c r="P152" s="269"/>
      <c r="Q152" s="269"/>
      <c r="R152" s="269"/>
      <c r="S152" s="269"/>
      <c r="T152" s="273"/>
      <c r="U152" s="273"/>
      <c r="V152" s="273"/>
      <c r="W152" s="274"/>
      <c r="X152" s="275"/>
      <c r="AA152" s="269"/>
      <c r="AB152" s="269"/>
    </row>
    <row r="153" spans="2:28" s="270" customFormat="1" x14ac:dyDescent="0.25">
      <c r="B153" s="271"/>
      <c r="C153" s="272"/>
      <c r="D153" s="272"/>
      <c r="E153" s="269"/>
      <c r="F153" s="269"/>
      <c r="G153" s="269"/>
      <c r="H153" s="269"/>
      <c r="I153" s="269"/>
      <c r="J153" s="269"/>
      <c r="K153" s="269"/>
      <c r="L153" s="269"/>
      <c r="M153" s="269"/>
      <c r="N153" s="269"/>
      <c r="O153" s="269"/>
      <c r="P153" s="269"/>
      <c r="Q153" s="269"/>
      <c r="R153" s="269"/>
      <c r="S153" s="269"/>
      <c r="T153" s="273"/>
      <c r="U153" s="273"/>
      <c r="V153" s="273"/>
      <c r="W153" s="274"/>
      <c r="X153" s="275"/>
      <c r="AA153" s="269"/>
      <c r="AB153" s="269"/>
    </row>
    <row r="154" spans="2:28" s="270" customFormat="1" x14ac:dyDescent="0.25">
      <c r="B154" s="271"/>
      <c r="C154" s="272"/>
      <c r="D154" s="272"/>
      <c r="E154" s="269"/>
      <c r="F154" s="269"/>
      <c r="G154" s="269"/>
      <c r="H154" s="269"/>
      <c r="I154" s="269"/>
      <c r="J154" s="269"/>
      <c r="K154" s="269"/>
      <c r="L154" s="269"/>
      <c r="M154" s="269"/>
      <c r="N154" s="269"/>
      <c r="O154" s="269"/>
      <c r="P154" s="269"/>
      <c r="Q154" s="269"/>
      <c r="R154" s="269"/>
      <c r="S154" s="269"/>
      <c r="T154" s="273"/>
      <c r="U154" s="273"/>
      <c r="V154" s="273"/>
      <c r="W154" s="274"/>
      <c r="X154" s="275"/>
      <c r="AA154" s="269"/>
      <c r="AB154" s="269"/>
    </row>
    <row r="155" spans="2:28" s="270" customFormat="1" x14ac:dyDescent="0.25">
      <c r="B155" s="271"/>
      <c r="C155" s="272"/>
      <c r="D155" s="272"/>
      <c r="E155" s="269"/>
      <c r="F155" s="269"/>
      <c r="G155" s="269"/>
      <c r="H155" s="269"/>
      <c r="I155" s="269"/>
      <c r="J155" s="269"/>
      <c r="K155" s="269"/>
      <c r="L155" s="269"/>
      <c r="M155" s="269"/>
      <c r="N155" s="269"/>
      <c r="O155" s="269"/>
      <c r="P155" s="269"/>
      <c r="Q155" s="269"/>
      <c r="R155" s="269"/>
      <c r="S155" s="269"/>
      <c r="T155" s="273"/>
      <c r="U155" s="273"/>
      <c r="V155" s="273"/>
      <c r="W155" s="274"/>
      <c r="X155" s="275"/>
      <c r="AA155" s="269"/>
      <c r="AB155" s="269"/>
    </row>
    <row r="156" spans="2:28" s="270" customFormat="1" x14ac:dyDescent="0.25">
      <c r="B156" s="271"/>
      <c r="C156" s="272"/>
      <c r="D156" s="272"/>
      <c r="E156" s="269"/>
      <c r="F156" s="269"/>
      <c r="G156" s="269"/>
      <c r="H156" s="269"/>
      <c r="I156" s="269"/>
      <c r="J156" s="269"/>
      <c r="K156" s="269"/>
      <c r="L156" s="269"/>
      <c r="M156" s="269"/>
      <c r="N156" s="269"/>
      <c r="O156" s="269"/>
      <c r="P156" s="269"/>
      <c r="Q156" s="269"/>
      <c r="R156" s="269"/>
      <c r="S156" s="269"/>
      <c r="T156" s="273"/>
      <c r="U156" s="273"/>
      <c r="V156" s="273"/>
      <c r="W156" s="274"/>
      <c r="X156" s="275"/>
      <c r="AA156" s="269"/>
      <c r="AB156" s="269"/>
    </row>
    <row r="157" spans="2:28" s="270" customFormat="1" x14ac:dyDescent="0.25">
      <c r="B157" s="271"/>
      <c r="C157" s="272"/>
      <c r="D157" s="272"/>
      <c r="E157" s="269"/>
      <c r="F157" s="269"/>
      <c r="G157" s="269"/>
      <c r="H157" s="269"/>
      <c r="I157" s="269"/>
      <c r="J157" s="269"/>
      <c r="K157" s="269"/>
      <c r="L157" s="269"/>
      <c r="M157" s="269"/>
      <c r="N157" s="269"/>
      <c r="O157" s="269"/>
      <c r="P157" s="269"/>
      <c r="Q157" s="269"/>
      <c r="R157" s="269"/>
      <c r="S157" s="269"/>
      <c r="T157" s="273"/>
      <c r="U157" s="273"/>
      <c r="V157" s="273"/>
      <c r="W157" s="274"/>
      <c r="X157" s="275"/>
      <c r="AA157" s="269"/>
      <c r="AB157" s="269"/>
    </row>
    <row r="158" spans="2:28" s="270" customFormat="1" x14ac:dyDescent="0.25">
      <c r="B158" s="271"/>
      <c r="C158" s="272"/>
      <c r="D158" s="272"/>
      <c r="E158" s="269"/>
      <c r="F158" s="269"/>
      <c r="G158" s="269"/>
      <c r="H158" s="269"/>
      <c r="I158" s="269"/>
      <c r="J158" s="269"/>
      <c r="K158" s="269"/>
      <c r="L158" s="269"/>
      <c r="M158" s="269"/>
      <c r="N158" s="269"/>
      <c r="O158" s="269"/>
      <c r="P158" s="269"/>
      <c r="Q158" s="269"/>
      <c r="R158" s="269"/>
      <c r="S158" s="269"/>
      <c r="T158" s="273"/>
      <c r="U158" s="273"/>
      <c r="V158" s="273"/>
      <c r="W158" s="274"/>
      <c r="X158" s="275"/>
      <c r="AA158" s="269"/>
      <c r="AB158" s="269"/>
    </row>
    <row r="159" spans="2:28" s="270" customFormat="1" x14ac:dyDescent="0.25">
      <c r="B159" s="271"/>
      <c r="C159" s="272"/>
      <c r="D159" s="272"/>
      <c r="E159" s="269"/>
      <c r="F159" s="269"/>
      <c r="G159" s="269"/>
      <c r="H159" s="269"/>
      <c r="I159" s="269"/>
      <c r="J159" s="269"/>
      <c r="K159" s="269"/>
      <c r="L159" s="269"/>
      <c r="M159" s="269"/>
      <c r="N159" s="269"/>
      <c r="O159" s="269"/>
      <c r="P159" s="269"/>
      <c r="Q159" s="269"/>
      <c r="R159" s="269"/>
      <c r="S159" s="269"/>
      <c r="T159" s="273"/>
      <c r="U159" s="273"/>
      <c r="V159" s="273"/>
      <c r="W159" s="274"/>
      <c r="X159" s="275"/>
      <c r="AA159" s="269"/>
      <c r="AB159" s="269"/>
    </row>
    <row r="160" spans="2:28" s="270" customFormat="1" x14ac:dyDescent="0.25">
      <c r="B160" s="271"/>
      <c r="C160" s="272"/>
      <c r="D160" s="272"/>
      <c r="E160" s="269"/>
      <c r="F160" s="269"/>
      <c r="G160" s="269"/>
      <c r="H160" s="269"/>
      <c r="I160" s="269"/>
      <c r="J160" s="269"/>
      <c r="K160" s="269"/>
      <c r="L160" s="269"/>
      <c r="M160" s="269"/>
      <c r="N160" s="269"/>
      <c r="O160" s="269"/>
      <c r="P160" s="269"/>
      <c r="Q160" s="269"/>
      <c r="R160" s="269"/>
      <c r="S160" s="269"/>
      <c r="T160" s="273"/>
      <c r="U160" s="273"/>
      <c r="V160" s="273"/>
      <c r="W160" s="274"/>
      <c r="X160" s="275"/>
      <c r="AA160" s="269"/>
      <c r="AB160" s="269"/>
    </row>
    <row r="161" spans="2:28" s="270" customFormat="1" x14ac:dyDescent="0.25">
      <c r="B161" s="271"/>
      <c r="C161" s="272"/>
      <c r="D161" s="272"/>
      <c r="E161" s="269"/>
      <c r="F161" s="269"/>
      <c r="G161" s="269"/>
      <c r="H161" s="269"/>
      <c r="I161" s="269"/>
      <c r="J161" s="269"/>
      <c r="K161" s="269"/>
      <c r="L161" s="269"/>
      <c r="M161" s="269"/>
      <c r="N161" s="269"/>
      <c r="O161" s="269"/>
      <c r="P161" s="269"/>
      <c r="Q161" s="269"/>
      <c r="R161" s="269"/>
      <c r="S161" s="269"/>
      <c r="T161" s="273"/>
      <c r="U161" s="273"/>
      <c r="V161" s="273"/>
      <c r="W161" s="274"/>
      <c r="X161" s="275"/>
      <c r="AA161" s="269"/>
      <c r="AB161" s="269"/>
    </row>
    <row r="162" spans="2:28" s="270" customFormat="1" x14ac:dyDescent="0.25">
      <c r="B162" s="271"/>
      <c r="C162" s="272"/>
      <c r="D162" s="272"/>
      <c r="E162" s="269"/>
      <c r="F162" s="269"/>
      <c r="G162" s="269"/>
      <c r="H162" s="269"/>
      <c r="I162" s="269"/>
      <c r="J162" s="269"/>
      <c r="K162" s="269"/>
      <c r="L162" s="269"/>
      <c r="M162" s="269"/>
      <c r="N162" s="269"/>
      <c r="O162" s="269"/>
      <c r="P162" s="269"/>
      <c r="Q162" s="269"/>
      <c r="R162" s="269"/>
      <c r="S162" s="269"/>
      <c r="T162" s="273"/>
      <c r="U162" s="273"/>
      <c r="V162" s="273"/>
      <c r="W162" s="274"/>
      <c r="X162" s="275"/>
      <c r="AA162" s="269"/>
      <c r="AB162" s="269"/>
    </row>
    <row r="163" spans="2:28" s="270" customFormat="1" x14ac:dyDescent="0.25">
      <c r="B163" s="271"/>
      <c r="C163" s="272"/>
      <c r="D163" s="272"/>
      <c r="E163" s="269"/>
      <c r="F163" s="269"/>
      <c r="G163" s="269"/>
      <c r="H163" s="269"/>
      <c r="I163" s="269"/>
      <c r="J163" s="269"/>
      <c r="K163" s="269"/>
      <c r="L163" s="269"/>
      <c r="M163" s="269"/>
      <c r="N163" s="269"/>
      <c r="O163" s="269"/>
      <c r="P163" s="269"/>
      <c r="Q163" s="269"/>
      <c r="R163" s="269"/>
      <c r="S163" s="269"/>
      <c r="T163" s="273"/>
      <c r="U163" s="273"/>
      <c r="V163" s="273"/>
      <c r="W163" s="274"/>
      <c r="X163" s="275"/>
      <c r="AA163" s="269"/>
      <c r="AB163" s="269"/>
    </row>
    <row r="164" spans="2:28" s="270" customFormat="1" x14ac:dyDescent="0.25">
      <c r="B164" s="271"/>
      <c r="C164" s="272"/>
      <c r="D164" s="272"/>
      <c r="E164" s="269"/>
      <c r="F164" s="269"/>
      <c r="G164" s="269"/>
      <c r="H164" s="269"/>
      <c r="I164" s="269"/>
      <c r="J164" s="269"/>
      <c r="K164" s="269"/>
      <c r="L164" s="269"/>
      <c r="M164" s="269"/>
      <c r="N164" s="269"/>
      <c r="O164" s="269"/>
      <c r="P164" s="269"/>
      <c r="Q164" s="269"/>
      <c r="R164" s="269"/>
      <c r="S164" s="269"/>
      <c r="T164" s="273"/>
      <c r="U164" s="273"/>
      <c r="V164" s="273"/>
      <c r="W164" s="274"/>
      <c r="X164" s="275"/>
      <c r="AA164" s="269"/>
      <c r="AB164" s="269"/>
    </row>
    <row r="165" spans="2:28" s="270" customFormat="1" x14ac:dyDescent="0.25">
      <c r="B165" s="271"/>
      <c r="C165" s="272"/>
      <c r="D165" s="272"/>
      <c r="E165" s="269"/>
      <c r="F165" s="269"/>
      <c r="G165" s="269"/>
      <c r="H165" s="269"/>
      <c r="I165" s="269"/>
      <c r="J165" s="269"/>
      <c r="K165" s="269"/>
      <c r="L165" s="269"/>
      <c r="M165" s="269"/>
      <c r="N165" s="269"/>
      <c r="O165" s="269"/>
      <c r="P165" s="269"/>
      <c r="Q165" s="269"/>
      <c r="R165" s="269"/>
      <c r="S165" s="269"/>
      <c r="T165" s="273"/>
      <c r="U165" s="273"/>
      <c r="V165" s="273"/>
      <c r="W165" s="274"/>
      <c r="X165" s="275"/>
      <c r="AA165" s="269"/>
      <c r="AB165" s="269"/>
    </row>
    <row r="166" spans="2:28" s="270" customFormat="1" x14ac:dyDescent="0.25">
      <c r="B166" s="271"/>
      <c r="C166" s="272"/>
      <c r="D166" s="272"/>
      <c r="E166" s="269"/>
      <c r="F166" s="269"/>
      <c r="G166" s="269"/>
      <c r="H166" s="269"/>
      <c r="I166" s="269"/>
      <c r="J166" s="269"/>
      <c r="K166" s="269"/>
      <c r="L166" s="269"/>
      <c r="M166" s="269"/>
      <c r="N166" s="269"/>
      <c r="O166" s="269"/>
      <c r="P166" s="269"/>
      <c r="Q166" s="269"/>
      <c r="R166" s="269"/>
      <c r="S166" s="269"/>
      <c r="T166" s="273"/>
      <c r="U166" s="273"/>
      <c r="V166" s="273"/>
      <c r="W166" s="274"/>
      <c r="X166" s="275"/>
      <c r="AA166" s="269"/>
      <c r="AB166" s="269"/>
    </row>
    <row r="167" spans="2:28" s="270" customFormat="1" x14ac:dyDescent="0.25">
      <c r="B167" s="271"/>
      <c r="C167" s="272"/>
      <c r="D167" s="272"/>
      <c r="E167" s="269"/>
      <c r="F167" s="269"/>
      <c r="G167" s="269"/>
      <c r="H167" s="269"/>
      <c r="I167" s="269"/>
      <c r="J167" s="269"/>
      <c r="K167" s="269"/>
      <c r="L167" s="269"/>
      <c r="M167" s="269"/>
      <c r="N167" s="269"/>
      <c r="O167" s="269"/>
      <c r="P167" s="269"/>
      <c r="Q167" s="269"/>
      <c r="R167" s="269"/>
      <c r="S167" s="269"/>
      <c r="T167" s="273"/>
      <c r="U167" s="273"/>
      <c r="V167" s="273"/>
      <c r="W167" s="274"/>
      <c r="X167" s="275"/>
      <c r="AA167" s="269"/>
      <c r="AB167" s="269"/>
    </row>
    <row r="168" spans="2:28" s="270" customFormat="1" x14ac:dyDescent="0.25">
      <c r="B168" s="271"/>
      <c r="C168" s="272"/>
      <c r="D168" s="272"/>
      <c r="E168" s="269"/>
      <c r="F168" s="269"/>
      <c r="G168" s="269"/>
      <c r="H168" s="269"/>
      <c r="I168" s="269"/>
      <c r="J168" s="269"/>
      <c r="K168" s="269"/>
      <c r="L168" s="269"/>
      <c r="M168" s="269"/>
      <c r="N168" s="269"/>
      <c r="O168" s="269"/>
      <c r="P168" s="269"/>
      <c r="Q168" s="269"/>
      <c r="R168" s="269"/>
      <c r="S168" s="269"/>
      <c r="T168" s="273"/>
      <c r="U168" s="273"/>
      <c r="V168" s="273"/>
      <c r="W168" s="274"/>
      <c r="X168" s="275"/>
      <c r="AA168" s="269"/>
      <c r="AB168" s="269"/>
    </row>
    <row r="169" spans="2:28" s="270" customFormat="1" x14ac:dyDescent="0.25">
      <c r="B169" s="271"/>
      <c r="C169" s="272"/>
      <c r="D169" s="272"/>
      <c r="E169" s="269"/>
      <c r="F169" s="269"/>
      <c r="G169" s="269"/>
      <c r="H169" s="269"/>
      <c r="I169" s="269"/>
      <c r="J169" s="269"/>
      <c r="K169" s="269"/>
      <c r="L169" s="269"/>
      <c r="M169" s="269"/>
      <c r="N169" s="269"/>
      <c r="O169" s="269"/>
      <c r="P169" s="269"/>
      <c r="Q169" s="269"/>
      <c r="R169" s="269"/>
      <c r="S169" s="269"/>
      <c r="T169" s="273"/>
      <c r="U169" s="273"/>
      <c r="V169" s="273"/>
      <c r="W169" s="274"/>
      <c r="X169" s="275"/>
      <c r="AA169" s="269"/>
      <c r="AB169" s="269"/>
    </row>
    <row r="170" spans="2:28" s="270" customFormat="1" x14ac:dyDescent="0.25">
      <c r="B170" s="271"/>
      <c r="C170" s="272"/>
      <c r="D170" s="272"/>
      <c r="E170" s="269"/>
      <c r="F170" s="269"/>
      <c r="G170" s="269"/>
      <c r="H170" s="269"/>
      <c r="I170" s="269"/>
      <c r="J170" s="269"/>
      <c r="K170" s="269"/>
      <c r="L170" s="269"/>
      <c r="M170" s="269"/>
      <c r="N170" s="269"/>
      <c r="O170" s="269"/>
      <c r="P170" s="269"/>
      <c r="Q170" s="269"/>
      <c r="R170" s="269"/>
      <c r="S170" s="269"/>
      <c r="T170" s="273"/>
      <c r="U170" s="273"/>
      <c r="V170" s="273"/>
      <c r="W170" s="274"/>
      <c r="X170" s="275"/>
      <c r="AA170" s="269"/>
      <c r="AB170" s="269"/>
    </row>
    <row r="171" spans="2:28" s="270" customFormat="1" x14ac:dyDescent="0.25">
      <c r="B171" s="271"/>
      <c r="C171" s="272"/>
      <c r="D171" s="272"/>
      <c r="E171" s="269"/>
      <c r="F171" s="269"/>
      <c r="G171" s="269"/>
      <c r="H171" s="269"/>
      <c r="I171" s="269"/>
      <c r="J171" s="269"/>
      <c r="K171" s="269"/>
      <c r="L171" s="269"/>
      <c r="M171" s="269"/>
      <c r="N171" s="269"/>
      <c r="O171" s="269"/>
      <c r="P171" s="269"/>
      <c r="Q171" s="269"/>
      <c r="R171" s="269"/>
      <c r="S171" s="269"/>
      <c r="T171" s="273"/>
      <c r="U171" s="273"/>
      <c r="V171" s="273"/>
      <c r="W171" s="274"/>
      <c r="X171" s="275"/>
      <c r="AA171" s="269"/>
      <c r="AB171" s="269"/>
    </row>
    <row r="172" spans="2:28" s="270" customFormat="1" x14ac:dyDescent="0.25">
      <c r="B172" s="271"/>
      <c r="C172" s="272"/>
      <c r="D172" s="272"/>
      <c r="E172" s="269"/>
      <c r="F172" s="269"/>
      <c r="G172" s="269"/>
      <c r="H172" s="269"/>
      <c r="I172" s="269"/>
      <c r="J172" s="269"/>
      <c r="K172" s="269"/>
      <c r="L172" s="269"/>
      <c r="M172" s="269"/>
      <c r="N172" s="269"/>
      <c r="O172" s="269"/>
      <c r="P172" s="269"/>
      <c r="Q172" s="269"/>
      <c r="R172" s="269"/>
      <c r="S172" s="269"/>
      <c r="T172" s="273"/>
      <c r="U172" s="273"/>
      <c r="V172" s="273"/>
      <c r="W172" s="274"/>
      <c r="X172" s="275"/>
      <c r="AA172" s="269"/>
      <c r="AB172" s="269"/>
    </row>
    <row r="173" spans="2:28" s="270" customFormat="1" x14ac:dyDescent="0.25">
      <c r="B173" s="271"/>
      <c r="C173" s="272"/>
      <c r="D173" s="272"/>
      <c r="E173" s="269"/>
      <c r="F173" s="269"/>
      <c r="G173" s="269"/>
      <c r="H173" s="269"/>
      <c r="I173" s="269"/>
      <c r="J173" s="269"/>
      <c r="K173" s="269"/>
      <c r="L173" s="269"/>
      <c r="M173" s="269"/>
      <c r="N173" s="269"/>
      <c r="O173" s="269"/>
      <c r="P173" s="269"/>
      <c r="Q173" s="269"/>
      <c r="R173" s="269"/>
      <c r="S173" s="269"/>
      <c r="T173" s="273"/>
      <c r="U173" s="273"/>
      <c r="V173" s="273"/>
      <c r="W173" s="274"/>
      <c r="X173" s="275"/>
      <c r="AA173" s="269"/>
      <c r="AB173" s="269"/>
    </row>
    <row r="174" spans="2:28" s="270" customFormat="1" x14ac:dyDescent="0.25">
      <c r="B174" s="271"/>
      <c r="C174" s="272"/>
      <c r="D174" s="272"/>
      <c r="E174" s="269"/>
      <c r="F174" s="269"/>
      <c r="G174" s="269"/>
      <c r="H174" s="269"/>
      <c r="I174" s="269"/>
      <c r="J174" s="269"/>
      <c r="K174" s="269"/>
      <c r="L174" s="269"/>
      <c r="M174" s="269"/>
      <c r="N174" s="269"/>
      <c r="O174" s="269"/>
      <c r="P174" s="269"/>
      <c r="Q174" s="269"/>
      <c r="R174" s="269"/>
      <c r="S174" s="269"/>
      <c r="T174" s="273"/>
      <c r="U174" s="273"/>
      <c r="V174" s="273"/>
      <c r="W174" s="274"/>
      <c r="X174" s="275"/>
      <c r="AA174" s="269"/>
      <c r="AB174" s="269"/>
    </row>
    <row r="175" spans="2:28" s="270" customFormat="1" x14ac:dyDescent="0.25">
      <c r="B175" s="271"/>
      <c r="C175" s="272"/>
      <c r="D175" s="272"/>
      <c r="E175" s="269"/>
      <c r="F175" s="269"/>
      <c r="G175" s="269"/>
      <c r="H175" s="269"/>
      <c r="I175" s="269"/>
      <c r="J175" s="269"/>
      <c r="K175" s="269"/>
      <c r="L175" s="269"/>
      <c r="M175" s="269"/>
      <c r="N175" s="269"/>
      <c r="O175" s="269"/>
      <c r="P175" s="269"/>
      <c r="Q175" s="269"/>
      <c r="R175" s="269"/>
      <c r="S175" s="269"/>
      <c r="T175" s="273"/>
      <c r="U175" s="273"/>
      <c r="V175" s="273"/>
      <c r="W175" s="274"/>
      <c r="X175" s="275"/>
      <c r="AA175" s="269"/>
      <c r="AB175" s="269"/>
    </row>
    <row r="176" spans="2:28" s="270" customFormat="1" x14ac:dyDescent="0.25">
      <c r="B176" s="271"/>
      <c r="C176" s="272"/>
      <c r="D176" s="272"/>
      <c r="E176" s="269"/>
      <c r="F176" s="269"/>
      <c r="G176" s="269"/>
      <c r="H176" s="269"/>
      <c r="I176" s="269"/>
      <c r="J176" s="269"/>
      <c r="K176" s="269"/>
      <c r="L176" s="269"/>
      <c r="M176" s="269"/>
      <c r="N176" s="269"/>
      <c r="O176" s="269"/>
      <c r="P176" s="269"/>
      <c r="Q176" s="269"/>
      <c r="R176" s="269"/>
      <c r="S176" s="269"/>
      <c r="T176" s="273"/>
      <c r="U176" s="273"/>
      <c r="V176" s="273"/>
      <c r="W176" s="274"/>
      <c r="X176" s="275"/>
      <c r="AA176" s="269"/>
      <c r="AB176" s="269"/>
    </row>
    <row r="177" spans="2:28" s="270" customFormat="1" x14ac:dyDescent="0.25">
      <c r="B177" s="271"/>
      <c r="C177" s="272"/>
      <c r="D177" s="272"/>
      <c r="E177" s="269"/>
      <c r="F177" s="269"/>
      <c r="G177" s="269"/>
      <c r="H177" s="269"/>
      <c r="I177" s="269"/>
      <c r="J177" s="269"/>
      <c r="K177" s="269"/>
      <c r="L177" s="269"/>
      <c r="M177" s="269"/>
      <c r="N177" s="269"/>
      <c r="O177" s="269"/>
      <c r="P177" s="269"/>
      <c r="Q177" s="269"/>
      <c r="R177" s="269"/>
      <c r="S177" s="269"/>
      <c r="T177" s="273"/>
      <c r="U177" s="273"/>
      <c r="V177" s="273"/>
      <c r="W177" s="274"/>
      <c r="X177" s="275"/>
      <c r="AA177" s="269"/>
      <c r="AB177" s="269"/>
    </row>
    <row r="178" spans="2:28" s="270" customFormat="1" x14ac:dyDescent="0.25">
      <c r="B178" s="271"/>
      <c r="C178" s="272"/>
      <c r="D178" s="272"/>
      <c r="E178" s="269"/>
      <c r="F178" s="269"/>
      <c r="G178" s="269"/>
      <c r="H178" s="269"/>
      <c r="I178" s="269"/>
      <c r="J178" s="269"/>
      <c r="K178" s="269"/>
      <c r="L178" s="269"/>
      <c r="M178" s="269"/>
      <c r="N178" s="269"/>
      <c r="O178" s="269"/>
      <c r="P178" s="269"/>
      <c r="Q178" s="269"/>
      <c r="R178" s="269"/>
      <c r="S178" s="269"/>
      <c r="T178" s="273"/>
      <c r="U178" s="273"/>
      <c r="V178" s="273"/>
      <c r="W178" s="274"/>
      <c r="X178" s="275"/>
      <c r="AA178" s="269"/>
      <c r="AB178" s="269"/>
    </row>
    <row r="179" spans="2:28" s="270" customFormat="1" x14ac:dyDescent="0.25">
      <c r="B179" s="271"/>
      <c r="C179" s="272"/>
      <c r="D179" s="272"/>
      <c r="E179" s="269"/>
      <c r="F179" s="269"/>
      <c r="G179" s="269"/>
      <c r="H179" s="269"/>
      <c r="I179" s="269"/>
      <c r="J179" s="269"/>
      <c r="K179" s="269"/>
      <c r="L179" s="269"/>
      <c r="M179" s="269"/>
      <c r="N179" s="269"/>
      <c r="O179" s="269"/>
      <c r="P179" s="269"/>
      <c r="Q179" s="269"/>
      <c r="R179" s="269"/>
      <c r="S179" s="269"/>
      <c r="T179" s="273"/>
      <c r="U179" s="273"/>
      <c r="V179" s="273"/>
      <c r="W179" s="274"/>
      <c r="X179" s="275"/>
      <c r="AA179" s="269"/>
      <c r="AB179" s="269"/>
    </row>
    <row r="180" spans="2:28" s="270" customFormat="1" x14ac:dyDescent="0.25">
      <c r="B180" s="271"/>
      <c r="C180" s="272"/>
      <c r="D180" s="272"/>
      <c r="E180" s="269"/>
      <c r="F180" s="269"/>
      <c r="G180" s="269"/>
      <c r="H180" s="269"/>
      <c r="I180" s="269"/>
      <c r="J180" s="269"/>
      <c r="K180" s="269"/>
      <c r="L180" s="269"/>
      <c r="M180" s="269"/>
      <c r="N180" s="269"/>
      <c r="O180" s="269"/>
      <c r="P180" s="269"/>
      <c r="Q180" s="269"/>
      <c r="R180" s="269"/>
      <c r="S180" s="269"/>
      <c r="T180" s="273"/>
      <c r="U180" s="273"/>
      <c r="V180" s="273"/>
      <c r="W180" s="274"/>
      <c r="X180" s="275"/>
      <c r="AA180" s="269"/>
      <c r="AB180" s="269"/>
    </row>
    <row r="181" spans="2:28" s="270" customFormat="1" x14ac:dyDescent="0.25">
      <c r="B181" s="271"/>
      <c r="C181" s="272"/>
      <c r="D181" s="272"/>
      <c r="E181" s="269"/>
      <c r="F181" s="269"/>
      <c r="G181" s="269"/>
      <c r="H181" s="269"/>
      <c r="I181" s="269"/>
      <c r="J181" s="269"/>
      <c r="K181" s="269"/>
      <c r="L181" s="269"/>
      <c r="M181" s="269"/>
      <c r="N181" s="269"/>
      <c r="O181" s="269"/>
      <c r="P181" s="269"/>
      <c r="Q181" s="269"/>
      <c r="R181" s="269"/>
      <c r="S181" s="269"/>
      <c r="T181" s="273"/>
      <c r="U181" s="273"/>
      <c r="V181" s="273"/>
      <c r="W181" s="274"/>
      <c r="X181" s="275"/>
      <c r="AA181" s="269"/>
      <c r="AB181" s="269"/>
    </row>
    <row r="182" spans="2:28" s="270" customFormat="1" x14ac:dyDescent="0.25">
      <c r="B182" s="271"/>
      <c r="C182" s="272"/>
      <c r="D182" s="272"/>
      <c r="E182" s="269"/>
      <c r="F182" s="269"/>
      <c r="G182" s="269"/>
      <c r="H182" s="269"/>
      <c r="I182" s="269"/>
      <c r="J182" s="269"/>
      <c r="K182" s="269"/>
      <c r="L182" s="269"/>
      <c r="M182" s="269"/>
      <c r="N182" s="269"/>
      <c r="O182" s="269"/>
      <c r="P182" s="269"/>
      <c r="Q182" s="269"/>
      <c r="R182" s="269"/>
      <c r="S182" s="269"/>
      <c r="T182" s="273"/>
      <c r="U182" s="273"/>
      <c r="V182" s="273"/>
      <c r="W182" s="274"/>
      <c r="X182" s="275"/>
      <c r="AA182" s="269"/>
      <c r="AB182" s="269"/>
    </row>
    <row r="183" spans="2:28" s="270" customFormat="1" x14ac:dyDescent="0.25">
      <c r="B183" s="271"/>
      <c r="C183" s="272"/>
      <c r="D183" s="272"/>
      <c r="E183" s="269"/>
      <c r="F183" s="269"/>
      <c r="G183" s="269"/>
      <c r="H183" s="269"/>
      <c r="I183" s="269"/>
      <c r="J183" s="269"/>
      <c r="K183" s="269"/>
      <c r="L183" s="269"/>
      <c r="M183" s="269"/>
      <c r="N183" s="269"/>
      <c r="O183" s="269"/>
      <c r="P183" s="269"/>
      <c r="Q183" s="269"/>
      <c r="R183" s="269"/>
      <c r="S183" s="269"/>
      <c r="T183" s="273"/>
      <c r="U183" s="273"/>
      <c r="V183" s="273"/>
      <c r="W183" s="274"/>
      <c r="X183" s="275"/>
      <c r="AA183" s="269"/>
      <c r="AB183" s="269"/>
    </row>
    <row r="184" spans="2:28" s="270" customFormat="1" x14ac:dyDescent="0.25">
      <c r="B184" s="271"/>
      <c r="C184" s="272"/>
      <c r="D184" s="272"/>
      <c r="E184" s="269"/>
      <c r="F184" s="269"/>
      <c r="G184" s="269"/>
      <c r="H184" s="269"/>
      <c r="I184" s="269"/>
      <c r="J184" s="269"/>
      <c r="K184" s="269"/>
      <c r="L184" s="269"/>
      <c r="M184" s="269"/>
      <c r="N184" s="269"/>
      <c r="O184" s="269"/>
      <c r="P184" s="269"/>
      <c r="Q184" s="269"/>
      <c r="R184" s="269"/>
      <c r="S184" s="269"/>
      <c r="T184" s="273"/>
      <c r="U184" s="273"/>
      <c r="V184" s="273"/>
      <c r="W184" s="274"/>
      <c r="X184" s="275"/>
      <c r="AA184" s="269"/>
      <c r="AB184" s="269"/>
    </row>
    <row r="185" spans="2:28" s="270" customFormat="1" x14ac:dyDescent="0.25">
      <c r="B185" s="271"/>
      <c r="C185" s="272"/>
      <c r="D185" s="272"/>
      <c r="E185" s="269"/>
      <c r="F185" s="269"/>
      <c r="G185" s="269"/>
      <c r="H185" s="269"/>
      <c r="I185" s="269"/>
      <c r="J185" s="269"/>
      <c r="K185" s="269"/>
      <c r="L185" s="269"/>
      <c r="M185" s="269"/>
      <c r="N185" s="269"/>
      <c r="O185" s="269"/>
      <c r="P185" s="269"/>
      <c r="Q185" s="269"/>
      <c r="R185" s="269"/>
      <c r="S185" s="269"/>
      <c r="T185" s="273"/>
      <c r="U185" s="273"/>
      <c r="V185" s="273"/>
      <c r="W185" s="274"/>
      <c r="X185" s="275"/>
      <c r="AA185" s="269"/>
      <c r="AB185" s="269"/>
    </row>
    <row r="186" spans="2:28" s="270" customFormat="1" x14ac:dyDescent="0.25">
      <c r="B186" s="271"/>
      <c r="C186" s="272"/>
      <c r="D186" s="272"/>
      <c r="E186" s="269"/>
      <c r="F186" s="269"/>
      <c r="G186" s="269"/>
      <c r="H186" s="269"/>
      <c r="I186" s="269"/>
      <c r="J186" s="269"/>
      <c r="K186" s="269"/>
      <c r="L186" s="269"/>
      <c r="M186" s="269"/>
      <c r="N186" s="269"/>
      <c r="O186" s="269"/>
      <c r="P186" s="269"/>
      <c r="Q186" s="269"/>
      <c r="R186" s="269"/>
      <c r="S186" s="269"/>
      <c r="T186" s="273"/>
      <c r="U186" s="273"/>
      <c r="V186" s="273"/>
      <c r="W186" s="274"/>
      <c r="X186" s="275"/>
      <c r="AA186" s="269"/>
      <c r="AB186" s="269"/>
    </row>
    <row r="187" spans="2:28" s="270" customFormat="1" x14ac:dyDescent="0.25">
      <c r="B187" s="271"/>
      <c r="C187" s="272"/>
      <c r="D187" s="272"/>
      <c r="E187" s="269"/>
      <c r="F187" s="269"/>
      <c r="G187" s="269"/>
      <c r="H187" s="269"/>
      <c r="I187" s="269"/>
      <c r="J187" s="269"/>
      <c r="K187" s="269"/>
      <c r="L187" s="269"/>
      <c r="M187" s="269"/>
      <c r="N187" s="269"/>
      <c r="O187" s="269"/>
      <c r="P187" s="269"/>
      <c r="Q187" s="269"/>
      <c r="R187" s="269"/>
      <c r="S187" s="269"/>
      <c r="T187" s="273"/>
      <c r="U187" s="273"/>
      <c r="V187" s="273"/>
      <c r="W187" s="274"/>
      <c r="X187" s="275"/>
      <c r="AA187" s="269"/>
      <c r="AB187" s="269"/>
    </row>
    <row r="188" spans="2:28" s="270" customFormat="1" x14ac:dyDescent="0.25">
      <c r="B188" s="271"/>
      <c r="C188" s="272"/>
      <c r="D188" s="272"/>
      <c r="E188" s="269"/>
      <c r="F188" s="269"/>
      <c r="G188" s="269"/>
      <c r="H188" s="269"/>
      <c r="I188" s="269"/>
      <c r="J188" s="269"/>
      <c r="K188" s="269"/>
      <c r="L188" s="269"/>
      <c r="M188" s="269"/>
      <c r="N188" s="269"/>
      <c r="O188" s="269"/>
      <c r="P188" s="269"/>
      <c r="Q188" s="269"/>
      <c r="R188" s="269"/>
      <c r="S188" s="269"/>
      <c r="T188" s="273"/>
      <c r="U188" s="273"/>
      <c r="V188" s="273"/>
      <c r="W188" s="274"/>
      <c r="X188" s="275"/>
      <c r="AA188" s="269"/>
      <c r="AB188" s="269"/>
    </row>
    <row r="189" spans="2:28" s="270" customFormat="1" x14ac:dyDescent="0.25">
      <c r="B189" s="271"/>
      <c r="C189" s="272"/>
      <c r="D189" s="272"/>
      <c r="E189" s="269"/>
      <c r="F189" s="269"/>
      <c r="G189" s="269"/>
      <c r="H189" s="269"/>
      <c r="I189" s="269"/>
      <c r="J189" s="269"/>
      <c r="K189" s="269"/>
      <c r="L189" s="269"/>
      <c r="M189" s="269"/>
      <c r="N189" s="269"/>
      <c r="O189" s="269"/>
      <c r="P189" s="269"/>
      <c r="Q189" s="269"/>
      <c r="R189" s="269"/>
      <c r="S189" s="269"/>
      <c r="T189" s="273"/>
      <c r="U189" s="273"/>
      <c r="V189" s="273"/>
      <c r="W189" s="274"/>
      <c r="X189" s="275"/>
      <c r="AA189" s="269"/>
      <c r="AB189" s="269"/>
    </row>
    <row r="190" spans="2:28" s="270" customFormat="1" x14ac:dyDescent="0.25">
      <c r="B190" s="271"/>
      <c r="C190" s="272"/>
      <c r="D190" s="272"/>
      <c r="E190" s="269"/>
      <c r="F190" s="269"/>
      <c r="G190" s="269"/>
      <c r="H190" s="269"/>
      <c r="I190" s="269"/>
      <c r="J190" s="269"/>
      <c r="K190" s="269"/>
      <c r="L190" s="269"/>
      <c r="M190" s="269"/>
      <c r="N190" s="269"/>
      <c r="O190" s="269"/>
      <c r="P190" s="269"/>
      <c r="Q190" s="269"/>
      <c r="R190" s="269"/>
      <c r="S190" s="269"/>
      <c r="T190" s="273"/>
      <c r="U190" s="273"/>
      <c r="V190" s="273"/>
      <c r="W190" s="274"/>
      <c r="X190" s="275"/>
      <c r="AA190" s="269"/>
      <c r="AB190" s="269"/>
    </row>
    <row r="191" spans="2:28" s="270" customFormat="1" x14ac:dyDescent="0.25">
      <c r="B191" s="271"/>
      <c r="C191" s="272"/>
      <c r="D191" s="272"/>
      <c r="E191" s="269"/>
      <c r="F191" s="269"/>
      <c r="G191" s="269"/>
      <c r="H191" s="269"/>
      <c r="I191" s="269"/>
      <c r="J191" s="269"/>
      <c r="K191" s="269"/>
      <c r="L191" s="269"/>
      <c r="M191" s="269"/>
      <c r="N191" s="269"/>
      <c r="O191" s="269"/>
      <c r="P191" s="269"/>
      <c r="Q191" s="269"/>
      <c r="R191" s="269"/>
      <c r="S191" s="269"/>
      <c r="T191" s="273"/>
      <c r="U191" s="273"/>
      <c r="V191" s="273"/>
      <c r="W191" s="274"/>
      <c r="X191" s="275"/>
      <c r="AA191" s="269"/>
      <c r="AB191" s="269"/>
    </row>
    <row r="192" spans="2:28" s="270" customFormat="1" x14ac:dyDescent="0.25">
      <c r="B192" s="271"/>
      <c r="C192" s="272"/>
      <c r="D192" s="272"/>
      <c r="E192" s="269"/>
      <c r="F192" s="269"/>
      <c r="G192" s="269"/>
      <c r="H192" s="269"/>
      <c r="I192" s="269"/>
      <c r="J192" s="269"/>
      <c r="K192" s="269"/>
      <c r="L192" s="269"/>
      <c r="M192" s="269"/>
      <c r="N192" s="269"/>
      <c r="O192" s="269"/>
      <c r="P192" s="269"/>
      <c r="Q192" s="269"/>
      <c r="R192" s="269"/>
      <c r="S192" s="269"/>
      <c r="T192" s="273"/>
      <c r="U192" s="273"/>
      <c r="V192" s="273"/>
      <c r="W192" s="274"/>
      <c r="X192" s="275"/>
      <c r="AA192" s="269"/>
      <c r="AB192" s="269"/>
    </row>
    <row r="193" spans="2:28" s="270" customFormat="1" x14ac:dyDescent="0.25">
      <c r="B193" s="271"/>
      <c r="C193" s="272"/>
      <c r="D193" s="272"/>
      <c r="E193" s="269"/>
      <c r="F193" s="269"/>
      <c r="G193" s="269"/>
      <c r="H193" s="269"/>
      <c r="I193" s="269"/>
      <c r="J193" s="269"/>
      <c r="K193" s="269"/>
      <c r="L193" s="269"/>
      <c r="M193" s="269"/>
      <c r="N193" s="269"/>
      <c r="O193" s="269"/>
      <c r="P193" s="269"/>
      <c r="Q193" s="269"/>
      <c r="R193" s="269"/>
      <c r="S193" s="269"/>
      <c r="T193" s="273"/>
      <c r="U193" s="273"/>
      <c r="V193" s="273"/>
      <c r="W193" s="274"/>
      <c r="X193" s="275"/>
      <c r="AA193" s="269"/>
      <c r="AB193" s="269"/>
    </row>
    <row r="194" spans="2:28" s="270" customFormat="1" x14ac:dyDescent="0.25">
      <c r="B194" s="271"/>
      <c r="C194" s="272"/>
      <c r="D194" s="272"/>
      <c r="E194" s="269"/>
      <c r="F194" s="269"/>
      <c r="G194" s="269"/>
      <c r="H194" s="269"/>
      <c r="I194" s="269"/>
      <c r="J194" s="269"/>
      <c r="K194" s="269"/>
      <c r="L194" s="269"/>
      <c r="M194" s="269"/>
      <c r="N194" s="269"/>
      <c r="O194" s="269"/>
      <c r="P194" s="269"/>
      <c r="Q194" s="269"/>
      <c r="R194" s="269"/>
      <c r="S194" s="269"/>
      <c r="T194" s="273"/>
      <c r="U194" s="273"/>
      <c r="V194" s="273"/>
      <c r="W194" s="274"/>
      <c r="X194" s="275"/>
      <c r="AA194" s="269"/>
      <c r="AB194" s="269"/>
    </row>
    <row r="195" spans="2:28" s="270" customFormat="1" x14ac:dyDescent="0.25">
      <c r="B195" s="271"/>
      <c r="C195" s="272"/>
      <c r="D195" s="272"/>
      <c r="E195" s="269"/>
      <c r="F195" s="269"/>
      <c r="G195" s="269"/>
      <c r="H195" s="269"/>
      <c r="I195" s="269"/>
      <c r="J195" s="269"/>
      <c r="K195" s="269"/>
      <c r="L195" s="269"/>
      <c r="M195" s="269"/>
      <c r="N195" s="269"/>
      <c r="O195" s="269"/>
      <c r="P195" s="269"/>
      <c r="Q195" s="269"/>
      <c r="R195" s="269"/>
      <c r="S195" s="269"/>
      <c r="T195" s="273"/>
      <c r="U195" s="273"/>
      <c r="V195" s="273"/>
      <c r="W195" s="274"/>
      <c r="X195" s="275"/>
      <c r="AA195" s="269"/>
      <c r="AB195" s="269"/>
    </row>
    <row r="196" spans="2:28" s="270" customFormat="1" x14ac:dyDescent="0.25">
      <c r="B196" s="271"/>
      <c r="C196" s="272"/>
      <c r="D196" s="272"/>
      <c r="E196" s="269"/>
      <c r="F196" s="269"/>
      <c r="G196" s="269"/>
      <c r="H196" s="269"/>
      <c r="I196" s="269"/>
      <c r="J196" s="269"/>
      <c r="K196" s="269"/>
      <c r="L196" s="269"/>
      <c r="M196" s="269"/>
      <c r="N196" s="269"/>
      <c r="O196" s="269"/>
      <c r="P196" s="269"/>
      <c r="Q196" s="269"/>
      <c r="R196" s="269"/>
      <c r="S196" s="269"/>
      <c r="T196" s="273"/>
      <c r="U196" s="273"/>
      <c r="V196" s="273"/>
      <c r="W196" s="274"/>
      <c r="X196" s="275"/>
      <c r="AA196" s="269"/>
      <c r="AB196" s="269"/>
    </row>
    <row r="197" spans="2:28" s="270" customFormat="1" x14ac:dyDescent="0.25">
      <c r="B197" s="271"/>
      <c r="C197" s="272"/>
      <c r="D197" s="272"/>
      <c r="E197" s="269"/>
      <c r="F197" s="269"/>
      <c r="G197" s="269"/>
      <c r="H197" s="269"/>
      <c r="I197" s="269"/>
      <c r="J197" s="269"/>
      <c r="K197" s="269"/>
      <c r="L197" s="269"/>
      <c r="M197" s="269"/>
      <c r="N197" s="269"/>
      <c r="O197" s="269"/>
      <c r="P197" s="269"/>
      <c r="Q197" s="269"/>
      <c r="R197" s="269"/>
      <c r="S197" s="269"/>
      <c r="T197" s="273"/>
      <c r="U197" s="273"/>
      <c r="V197" s="273"/>
      <c r="W197" s="274"/>
      <c r="X197" s="275"/>
      <c r="AA197" s="269"/>
      <c r="AB197" s="269"/>
    </row>
    <row r="198" spans="2:28" s="270" customFormat="1" x14ac:dyDescent="0.25">
      <c r="B198" s="271"/>
      <c r="C198" s="272"/>
      <c r="D198" s="272"/>
      <c r="E198" s="269"/>
      <c r="F198" s="269"/>
      <c r="G198" s="269"/>
      <c r="H198" s="269"/>
      <c r="I198" s="269"/>
      <c r="J198" s="269"/>
      <c r="K198" s="269"/>
      <c r="L198" s="269"/>
      <c r="M198" s="269"/>
      <c r="N198" s="269"/>
      <c r="O198" s="269"/>
      <c r="P198" s="269"/>
      <c r="Q198" s="269"/>
      <c r="R198" s="269"/>
      <c r="S198" s="269"/>
      <c r="T198" s="273"/>
      <c r="U198" s="273"/>
      <c r="V198" s="273"/>
      <c r="W198" s="274"/>
      <c r="X198" s="275"/>
      <c r="AA198" s="269"/>
      <c r="AB198" s="269"/>
    </row>
    <row r="199" spans="2:28" s="270" customFormat="1" x14ac:dyDescent="0.25">
      <c r="B199" s="271"/>
      <c r="C199" s="272"/>
      <c r="D199" s="272"/>
      <c r="E199" s="269"/>
      <c r="F199" s="269"/>
      <c r="G199" s="269"/>
      <c r="H199" s="269"/>
      <c r="I199" s="269"/>
      <c r="J199" s="269"/>
      <c r="K199" s="269"/>
      <c r="L199" s="269"/>
      <c r="M199" s="269"/>
      <c r="N199" s="269"/>
      <c r="O199" s="269"/>
      <c r="P199" s="269"/>
      <c r="Q199" s="269"/>
      <c r="R199" s="269"/>
      <c r="S199" s="269"/>
      <c r="T199" s="273"/>
      <c r="U199" s="273"/>
      <c r="V199" s="273"/>
      <c r="W199" s="274"/>
      <c r="X199" s="275"/>
      <c r="AA199" s="269"/>
      <c r="AB199" s="269"/>
    </row>
    <row r="200" spans="2:28" s="270" customFormat="1" x14ac:dyDescent="0.25">
      <c r="B200" s="271"/>
      <c r="C200" s="272"/>
      <c r="D200" s="272"/>
      <c r="E200" s="269"/>
      <c r="F200" s="269"/>
      <c r="G200" s="269"/>
      <c r="H200" s="269"/>
      <c r="I200" s="269"/>
      <c r="J200" s="269"/>
      <c r="K200" s="269"/>
      <c r="L200" s="269"/>
      <c r="M200" s="269"/>
      <c r="N200" s="269"/>
      <c r="O200" s="269"/>
      <c r="P200" s="269"/>
      <c r="Q200" s="269"/>
      <c r="R200" s="269"/>
      <c r="S200" s="269"/>
      <c r="T200" s="273"/>
      <c r="U200" s="273"/>
      <c r="V200" s="273"/>
      <c r="W200" s="274"/>
      <c r="X200" s="275"/>
      <c r="AA200" s="269"/>
      <c r="AB200" s="269"/>
    </row>
    <row r="201" spans="2:28" s="270" customFormat="1" x14ac:dyDescent="0.25">
      <c r="B201" s="271"/>
      <c r="C201" s="272"/>
      <c r="D201" s="272"/>
      <c r="E201" s="269"/>
      <c r="F201" s="269"/>
      <c r="G201" s="269"/>
      <c r="H201" s="269"/>
      <c r="I201" s="269"/>
      <c r="J201" s="269"/>
      <c r="K201" s="269"/>
      <c r="L201" s="269"/>
      <c r="M201" s="269"/>
      <c r="N201" s="269"/>
      <c r="O201" s="269"/>
      <c r="P201" s="269"/>
      <c r="Q201" s="269"/>
      <c r="R201" s="269"/>
      <c r="S201" s="269"/>
      <c r="T201" s="273"/>
      <c r="U201" s="273"/>
      <c r="V201" s="273"/>
      <c r="W201" s="274"/>
      <c r="X201" s="275"/>
      <c r="AA201" s="269"/>
      <c r="AB201" s="269"/>
    </row>
    <row r="202" spans="2:28" s="270" customFormat="1" x14ac:dyDescent="0.25">
      <c r="B202" s="271"/>
      <c r="C202" s="272"/>
      <c r="D202" s="272"/>
      <c r="E202" s="269"/>
      <c r="F202" s="269"/>
      <c r="G202" s="269"/>
      <c r="H202" s="269"/>
      <c r="I202" s="269"/>
      <c r="J202" s="269"/>
      <c r="K202" s="269"/>
      <c r="L202" s="269"/>
      <c r="M202" s="269"/>
      <c r="N202" s="269"/>
      <c r="O202" s="269"/>
      <c r="P202" s="269"/>
      <c r="Q202" s="269"/>
      <c r="R202" s="269"/>
      <c r="S202" s="269"/>
      <c r="T202" s="273"/>
      <c r="U202" s="273"/>
      <c r="V202" s="273"/>
      <c r="W202" s="274"/>
      <c r="X202" s="275"/>
      <c r="AA202" s="269"/>
      <c r="AB202" s="269"/>
    </row>
    <row r="203" spans="2:28" s="270" customFormat="1" x14ac:dyDescent="0.25">
      <c r="B203" s="271"/>
      <c r="C203" s="272"/>
      <c r="D203" s="272"/>
      <c r="E203" s="269"/>
      <c r="F203" s="269"/>
      <c r="G203" s="269"/>
      <c r="H203" s="269"/>
      <c r="I203" s="269"/>
      <c r="J203" s="269"/>
      <c r="K203" s="269"/>
      <c r="L203" s="269"/>
      <c r="M203" s="269"/>
      <c r="N203" s="269"/>
      <c r="O203" s="269"/>
      <c r="P203" s="269"/>
      <c r="Q203" s="269"/>
      <c r="R203" s="269"/>
      <c r="S203" s="269"/>
      <c r="T203" s="273"/>
      <c r="U203" s="273"/>
      <c r="V203" s="273"/>
      <c r="W203" s="274"/>
      <c r="X203" s="275"/>
      <c r="AA203" s="269"/>
      <c r="AB203" s="269"/>
    </row>
    <row r="204" spans="2:28" s="270" customFormat="1" x14ac:dyDescent="0.25">
      <c r="B204" s="271"/>
      <c r="C204" s="272"/>
      <c r="D204" s="272"/>
      <c r="E204" s="269"/>
      <c r="F204" s="269"/>
      <c r="G204" s="269"/>
      <c r="H204" s="269"/>
      <c r="I204" s="269"/>
      <c r="J204" s="269"/>
      <c r="K204" s="269"/>
      <c r="L204" s="269"/>
      <c r="M204" s="269"/>
      <c r="N204" s="269"/>
      <c r="O204" s="269"/>
      <c r="P204" s="269"/>
      <c r="Q204" s="269"/>
      <c r="R204" s="269"/>
      <c r="S204" s="269"/>
      <c r="T204" s="273"/>
      <c r="U204" s="273"/>
      <c r="V204" s="273"/>
      <c r="W204" s="274"/>
      <c r="X204" s="275"/>
      <c r="AA204" s="269"/>
      <c r="AB204" s="269"/>
    </row>
    <row r="205" spans="2:28" s="270" customFormat="1" x14ac:dyDescent="0.25">
      <c r="B205" s="271"/>
      <c r="C205" s="272"/>
      <c r="D205" s="272"/>
      <c r="E205" s="269"/>
      <c r="F205" s="269"/>
      <c r="G205" s="269"/>
      <c r="H205" s="269"/>
      <c r="I205" s="269"/>
      <c r="J205" s="269"/>
      <c r="K205" s="269"/>
      <c r="L205" s="269"/>
      <c r="M205" s="269"/>
      <c r="N205" s="269"/>
      <c r="O205" s="269"/>
      <c r="P205" s="269"/>
      <c r="Q205" s="269"/>
      <c r="R205" s="269"/>
      <c r="S205" s="269"/>
      <c r="T205" s="273"/>
      <c r="U205" s="273"/>
      <c r="V205" s="273"/>
      <c r="W205" s="274"/>
      <c r="X205" s="275"/>
      <c r="AA205" s="269"/>
      <c r="AB205" s="269"/>
    </row>
    <row r="206" spans="2:28" s="270" customFormat="1" x14ac:dyDescent="0.25">
      <c r="B206" s="271"/>
      <c r="C206" s="272"/>
      <c r="D206" s="272"/>
      <c r="E206" s="269"/>
      <c r="F206" s="269"/>
      <c r="G206" s="269"/>
      <c r="H206" s="269"/>
      <c r="I206" s="269"/>
      <c r="J206" s="269"/>
      <c r="K206" s="269"/>
      <c r="L206" s="269"/>
      <c r="M206" s="269"/>
      <c r="N206" s="269"/>
      <c r="O206" s="269"/>
      <c r="P206" s="269"/>
      <c r="Q206" s="269"/>
      <c r="R206" s="269"/>
      <c r="S206" s="269"/>
      <c r="T206" s="273"/>
      <c r="U206" s="273"/>
      <c r="V206" s="273"/>
      <c r="W206" s="274"/>
      <c r="X206" s="275"/>
      <c r="AA206" s="269"/>
      <c r="AB206" s="269"/>
    </row>
    <row r="207" spans="2:28" s="270" customFormat="1" x14ac:dyDescent="0.25">
      <c r="B207" s="271"/>
      <c r="C207" s="272"/>
      <c r="D207" s="272"/>
      <c r="E207" s="269"/>
      <c r="F207" s="269"/>
      <c r="G207" s="269"/>
      <c r="H207" s="269"/>
      <c r="I207" s="269"/>
      <c r="J207" s="269"/>
      <c r="K207" s="269"/>
      <c r="L207" s="269"/>
      <c r="M207" s="269"/>
      <c r="N207" s="269"/>
      <c r="O207" s="269"/>
      <c r="P207" s="269"/>
      <c r="Q207" s="269"/>
      <c r="R207" s="269"/>
      <c r="S207" s="269"/>
      <c r="T207" s="273"/>
      <c r="U207" s="273"/>
      <c r="V207" s="273"/>
      <c r="W207" s="274"/>
      <c r="X207" s="275"/>
      <c r="AA207" s="269"/>
      <c r="AB207" s="269"/>
    </row>
    <row r="208" spans="2:28" s="270" customFormat="1" x14ac:dyDescent="0.25">
      <c r="B208" s="271"/>
      <c r="C208" s="272"/>
      <c r="D208" s="272"/>
      <c r="E208" s="269"/>
      <c r="F208" s="269"/>
      <c r="G208" s="269"/>
      <c r="H208" s="269"/>
      <c r="I208" s="269"/>
      <c r="J208" s="269"/>
      <c r="K208" s="269"/>
      <c r="L208" s="269"/>
      <c r="M208" s="269"/>
      <c r="N208" s="269"/>
      <c r="O208" s="269"/>
      <c r="P208" s="269"/>
      <c r="Q208" s="269"/>
      <c r="R208" s="269"/>
      <c r="S208" s="269"/>
      <c r="T208" s="273"/>
      <c r="U208" s="273"/>
      <c r="V208" s="273"/>
      <c r="W208" s="274"/>
      <c r="X208" s="275"/>
      <c r="AA208" s="269"/>
      <c r="AB208" s="269"/>
    </row>
    <row r="209" spans="2:28" s="270" customFormat="1" x14ac:dyDescent="0.25">
      <c r="B209" s="271"/>
      <c r="C209" s="272"/>
      <c r="D209" s="272"/>
      <c r="E209" s="269"/>
      <c r="F209" s="269"/>
      <c r="G209" s="269"/>
      <c r="H209" s="269"/>
      <c r="I209" s="269"/>
      <c r="J209" s="269"/>
      <c r="K209" s="269"/>
      <c r="L209" s="269"/>
      <c r="M209" s="269"/>
      <c r="N209" s="269"/>
      <c r="O209" s="269"/>
      <c r="P209" s="269"/>
      <c r="Q209" s="269"/>
      <c r="R209" s="269"/>
      <c r="S209" s="269"/>
      <c r="T209" s="273"/>
      <c r="U209" s="273"/>
      <c r="V209" s="273"/>
      <c r="W209" s="274"/>
      <c r="X209" s="275"/>
      <c r="AA209" s="269"/>
      <c r="AB209" s="269"/>
    </row>
    <row r="210" spans="2:28" s="270" customFormat="1" x14ac:dyDescent="0.25">
      <c r="B210" s="271"/>
      <c r="C210" s="272"/>
      <c r="D210" s="272"/>
      <c r="E210" s="269"/>
      <c r="F210" s="269"/>
      <c r="G210" s="269"/>
      <c r="H210" s="269"/>
      <c r="I210" s="269"/>
      <c r="J210" s="269"/>
      <c r="K210" s="269"/>
      <c r="L210" s="269"/>
      <c r="M210" s="269"/>
      <c r="N210" s="269"/>
      <c r="O210" s="269"/>
      <c r="P210" s="269"/>
      <c r="Q210" s="269"/>
      <c r="R210" s="269"/>
      <c r="S210" s="269"/>
      <c r="T210" s="273"/>
      <c r="U210" s="273"/>
      <c r="V210" s="273"/>
      <c r="W210" s="274"/>
      <c r="X210" s="275"/>
      <c r="AA210" s="269"/>
      <c r="AB210" s="269"/>
    </row>
    <row r="211" spans="2:28" s="270" customFormat="1" x14ac:dyDescent="0.25">
      <c r="B211" s="271"/>
      <c r="C211" s="272"/>
      <c r="D211" s="272"/>
      <c r="E211" s="269"/>
      <c r="F211" s="269"/>
      <c r="G211" s="269"/>
      <c r="H211" s="269"/>
      <c r="I211" s="269"/>
      <c r="J211" s="269"/>
      <c r="K211" s="269"/>
      <c r="L211" s="269"/>
      <c r="M211" s="269"/>
      <c r="N211" s="269"/>
      <c r="O211" s="269"/>
      <c r="P211" s="269"/>
      <c r="Q211" s="269"/>
      <c r="R211" s="269"/>
      <c r="S211" s="269"/>
      <c r="T211" s="273"/>
      <c r="U211" s="273"/>
      <c r="V211" s="273"/>
      <c r="W211" s="274"/>
      <c r="X211" s="275"/>
      <c r="AA211" s="269"/>
      <c r="AB211" s="269"/>
    </row>
    <row r="212" spans="2:28" s="270" customFormat="1" x14ac:dyDescent="0.25">
      <c r="B212" s="271"/>
      <c r="C212" s="272"/>
      <c r="D212" s="272"/>
      <c r="E212" s="269"/>
      <c r="F212" s="269"/>
      <c r="G212" s="269"/>
      <c r="H212" s="269"/>
      <c r="I212" s="269"/>
      <c r="J212" s="269"/>
      <c r="K212" s="269"/>
      <c r="L212" s="269"/>
      <c r="M212" s="269"/>
      <c r="N212" s="269"/>
      <c r="O212" s="269"/>
      <c r="P212" s="269"/>
      <c r="Q212" s="269"/>
      <c r="R212" s="269"/>
      <c r="S212" s="269"/>
      <c r="T212" s="273"/>
      <c r="U212" s="273"/>
      <c r="V212" s="273"/>
      <c r="W212" s="274"/>
      <c r="X212" s="275"/>
      <c r="AA212" s="269"/>
      <c r="AB212" s="269"/>
    </row>
    <row r="213" spans="2:28" s="270" customFormat="1" x14ac:dyDescent="0.25">
      <c r="B213" s="271"/>
      <c r="C213" s="272"/>
      <c r="D213" s="272"/>
      <c r="E213" s="269"/>
      <c r="F213" s="269"/>
      <c r="G213" s="269"/>
      <c r="H213" s="269"/>
      <c r="I213" s="269"/>
      <c r="J213" s="269"/>
      <c r="K213" s="269"/>
      <c r="L213" s="269"/>
      <c r="M213" s="269"/>
      <c r="N213" s="269"/>
      <c r="O213" s="269"/>
      <c r="P213" s="269"/>
      <c r="Q213" s="269"/>
      <c r="R213" s="269"/>
      <c r="S213" s="269"/>
      <c r="T213" s="273"/>
      <c r="U213" s="273"/>
      <c r="V213" s="273"/>
      <c r="W213" s="274"/>
      <c r="X213" s="275"/>
      <c r="AA213" s="269"/>
      <c r="AB213" s="269"/>
    </row>
    <row r="214" spans="2:28" s="270" customFormat="1" x14ac:dyDescent="0.25">
      <c r="B214" s="271"/>
      <c r="C214" s="272"/>
      <c r="D214" s="272"/>
      <c r="E214" s="269"/>
      <c r="F214" s="269"/>
      <c r="G214" s="269"/>
      <c r="H214" s="269"/>
      <c r="I214" s="269"/>
      <c r="J214" s="269"/>
      <c r="K214" s="269"/>
      <c r="L214" s="269"/>
      <c r="M214" s="269"/>
      <c r="N214" s="269"/>
      <c r="O214" s="269"/>
      <c r="P214" s="269"/>
      <c r="Q214" s="269"/>
      <c r="R214" s="269"/>
      <c r="S214" s="269"/>
      <c r="T214" s="273"/>
      <c r="U214" s="273"/>
      <c r="V214" s="273"/>
      <c r="W214" s="274"/>
      <c r="X214" s="275"/>
      <c r="AA214" s="269"/>
      <c r="AB214" s="269"/>
    </row>
    <row r="215" spans="2:28" s="270" customFormat="1" x14ac:dyDescent="0.25">
      <c r="B215" s="271"/>
      <c r="C215" s="272"/>
      <c r="D215" s="272"/>
      <c r="E215" s="269"/>
      <c r="F215" s="269"/>
      <c r="G215" s="269"/>
      <c r="H215" s="269"/>
      <c r="I215" s="269"/>
      <c r="J215" s="269"/>
      <c r="K215" s="269"/>
      <c r="L215" s="269"/>
      <c r="M215" s="269"/>
      <c r="N215" s="269"/>
      <c r="O215" s="269"/>
      <c r="P215" s="269"/>
      <c r="Q215" s="269"/>
      <c r="R215" s="269"/>
      <c r="S215" s="269"/>
      <c r="T215" s="273"/>
      <c r="U215" s="273"/>
      <c r="V215" s="273"/>
      <c r="W215" s="274"/>
      <c r="X215" s="275"/>
      <c r="AA215" s="269"/>
      <c r="AB215" s="269"/>
    </row>
    <row r="216" spans="2:28" s="270" customFormat="1" x14ac:dyDescent="0.25">
      <c r="B216" s="271"/>
      <c r="C216" s="272"/>
      <c r="D216" s="272"/>
      <c r="E216" s="269"/>
      <c r="F216" s="269"/>
      <c r="G216" s="269"/>
      <c r="H216" s="269"/>
      <c r="I216" s="269"/>
      <c r="J216" s="269"/>
      <c r="K216" s="269"/>
      <c r="L216" s="269"/>
      <c r="M216" s="269"/>
      <c r="N216" s="269"/>
      <c r="O216" s="269"/>
      <c r="P216" s="269"/>
      <c r="Q216" s="269"/>
      <c r="R216" s="269"/>
      <c r="S216" s="269"/>
      <c r="T216" s="273"/>
      <c r="U216" s="273"/>
      <c r="V216" s="273"/>
      <c r="W216" s="274"/>
      <c r="X216" s="275"/>
      <c r="AA216" s="269"/>
      <c r="AB216" s="269"/>
    </row>
    <row r="217" spans="2:28" s="270" customFormat="1" x14ac:dyDescent="0.25">
      <c r="B217" s="271"/>
      <c r="C217" s="272"/>
      <c r="D217" s="272"/>
      <c r="E217" s="269"/>
      <c r="F217" s="269"/>
      <c r="G217" s="269"/>
      <c r="H217" s="269"/>
      <c r="I217" s="269"/>
      <c r="J217" s="269"/>
      <c r="K217" s="269"/>
      <c r="L217" s="269"/>
      <c r="M217" s="269"/>
      <c r="N217" s="269"/>
      <c r="O217" s="269"/>
      <c r="P217" s="269"/>
      <c r="Q217" s="269"/>
      <c r="R217" s="269"/>
      <c r="S217" s="269"/>
      <c r="T217" s="273"/>
      <c r="U217" s="273"/>
      <c r="V217" s="273"/>
      <c r="W217" s="274"/>
      <c r="X217" s="275"/>
      <c r="AA217" s="269"/>
      <c r="AB217" s="269"/>
    </row>
    <row r="218" spans="2:28" s="270" customFormat="1" x14ac:dyDescent="0.25">
      <c r="B218" s="271"/>
      <c r="C218" s="272"/>
      <c r="D218" s="272"/>
      <c r="E218" s="269"/>
      <c r="F218" s="269"/>
      <c r="G218" s="269"/>
      <c r="H218" s="269"/>
      <c r="I218" s="269"/>
      <c r="J218" s="269"/>
      <c r="K218" s="269"/>
      <c r="L218" s="269"/>
      <c r="M218" s="269"/>
      <c r="N218" s="269"/>
      <c r="O218" s="269"/>
      <c r="P218" s="269"/>
      <c r="Q218" s="269"/>
      <c r="R218" s="269"/>
      <c r="S218" s="269"/>
      <c r="T218" s="273"/>
      <c r="U218" s="273"/>
      <c r="V218" s="273"/>
      <c r="W218" s="274"/>
      <c r="X218" s="275"/>
      <c r="AA218" s="269"/>
      <c r="AB218" s="269"/>
    </row>
    <row r="219" spans="2:28" s="270" customFormat="1" x14ac:dyDescent="0.25">
      <c r="B219" s="271"/>
      <c r="C219" s="272"/>
      <c r="D219" s="272"/>
      <c r="E219" s="269"/>
      <c r="F219" s="269"/>
      <c r="G219" s="269"/>
      <c r="H219" s="269"/>
      <c r="I219" s="269"/>
      <c r="J219" s="269"/>
      <c r="K219" s="269"/>
      <c r="L219" s="269"/>
      <c r="M219" s="269"/>
      <c r="N219" s="269"/>
      <c r="O219" s="269"/>
      <c r="P219" s="269"/>
      <c r="Q219" s="269"/>
      <c r="R219" s="269"/>
      <c r="S219" s="269"/>
      <c r="T219" s="273"/>
      <c r="U219" s="273"/>
      <c r="V219" s="273"/>
      <c r="W219" s="274"/>
      <c r="X219" s="275"/>
      <c r="AA219" s="269"/>
      <c r="AB219" s="269"/>
    </row>
    <row r="220" spans="2:28" s="270" customFormat="1" x14ac:dyDescent="0.25">
      <c r="B220" s="271"/>
      <c r="C220" s="272"/>
      <c r="D220" s="272"/>
      <c r="E220" s="269"/>
      <c r="F220" s="269"/>
      <c r="G220" s="269"/>
      <c r="H220" s="269"/>
      <c r="I220" s="269"/>
      <c r="J220" s="269"/>
      <c r="K220" s="269"/>
      <c r="L220" s="269"/>
      <c r="M220" s="269"/>
      <c r="N220" s="269"/>
      <c r="O220" s="269"/>
      <c r="P220" s="269"/>
      <c r="Q220" s="269"/>
      <c r="R220" s="269"/>
      <c r="S220" s="269"/>
      <c r="T220" s="273"/>
      <c r="U220" s="273"/>
      <c r="V220" s="273"/>
      <c r="W220" s="274"/>
      <c r="X220" s="275"/>
      <c r="AA220" s="269"/>
      <c r="AB220" s="269"/>
    </row>
    <row r="221" spans="2:28" s="270" customFormat="1" x14ac:dyDescent="0.25">
      <c r="B221" s="271"/>
      <c r="C221" s="272"/>
      <c r="D221" s="272"/>
      <c r="E221" s="269"/>
      <c r="F221" s="269"/>
      <c r="G221" s="269"/>
      <c r="H221" s="269"/>
      <c r="I221" s="269"/>
      <c r="J221" s="269"/>
      <c r="K221" s="269"/>
      <c r="L221" s="269"/>
      <c r="M221" s="269"/>
      <c r="N221" s="269"/>
      <c r="O221" s="269"/>
      <c r="P221" s="269"/>
      <c r="Q221" s="269"/>
      <c r="R221" s="269"/>
      <c r="S221" s="269"/>
      <c r="T221" s="273"/>
      <c r="U221" s="273"/>
      <c r="V221" s="273"/>
      <c r="W221" s="274"/>
      <c r="X221" s="275"/>
      <c r="AA221" s="269"/>
      <c r="AB221" s="269"/>
    </row>
    <row r="222" spans="2:28" s="270" customFormat="1" x14ac:dyDescent="0.25">
      <c r="B222" s="271"/>
      <c r="C222" s="272"/>
      <c r="D222" s="272"/>
      <c r="E222" s="269"/>
      <c r="F222" s="269"/>
      <c r="G222" s="269"/>
      <c r="H222" s="269"/>
      <c r="I222" s="269"/>
      <c r="J222" s="269"/>
      <c r="K222" s="269"/>
      <c r="L222" s="269"/>
      <c r="M222" s="269"/>
      <c r="N222" s="269"/>
      <c r="O222" s="269"/>
      <c r="P222" s="269"/>
      <c r="Q222" s="269"/>
      <c r="R222" s="269"/>
      <c r="S222" s="269"/>
      <c r="T222" s="273"/>
      <c r="U222" s="273"/>
      <c r="V222" s="273"/>
      <c r="W222" s="274"/>
      <c r="X222" s="275"/>
      <c r="AA222" s="269"/>
      <c r="AB222" s="269"/>
    </row>
    <row r="223" spans="2:28" s="270" customFormat="1" x14ac:dyDescent="0.25">
      <c r="B223" s="271"/>
      <c r="C223" s="272"/>
      <c r="D223" s="272"/>
      <c r="E223" s="269"/>
      <c r="F223" s="269"/>
      <c r="G223" s="269"/>
      <c r="H223" s="269"/>
      <c r="I223" s="269"/>
      <c r="J223" s="269"/>
      <c r="K223" s="269"/>
      <c r="L223" s="269"/>
      <c r="M223" s="269"/>
      <c r="N223" s="269"/>
      <c r="O223" s="269"/>
      <c r="P223" s="269"/>
      <c r="Q223" s="269"/>
      <c r="R223" s="269"/>
      <c r="S223" s="269"/>
      <c r="T223" s="273"/>
      <c r="U223" s="273"/>
      <c r="V223" s="273"/>
      <c r="W223" s="274"/>
      <c r="X223" s="275"/>
      <c r="AA223" s="269"/>
      <c r="AB223" s="269"/>
    </row>
    <row r="224" spans="2:28" s="270" customFormat="1" x14ac:dyDescent="0.25">
      <c r="B224" s="271"/>
      <c r="C224" s="272"/>
      <c r="D224" s="272"/>
      <c r="E224" s="269"/>
      <c r="F224" s="269"/>
      <c r="G224" s="269"/>
      <c r="H224" s="269"/>
      <c r="I224" s="269"/>
      <c r="J224" s="269"/>
      <c r="K224" s="269"/>
      <c r="L224" s="269"/>
      <c r="M224" s="269"/>
      <c r="N224" s="269"/>
      <c r="O224" s="269"/>
      <c r="P224" s="269"/>
      <c r="Q224" s="269"/>
      <c r="R224" s="269"/>
      <c r="S224" s="269"/>
      <c r="T224" s="273"/>
      <c r="U224" s="273"/>
      <c r="V224" s="273"/>
      <c r="W224" s="274"/>
      <c r="X224" s="275"/>
      <c r="AA224" s="269"/>
      <c r="AB224" s="269"/>
    </row>
    <row r="225" spans="2:28" s="270" customFormat="1" x14ac:dyDescent="0.25">
      <c r="B225" s="271"/>
      <c r="C225" s="272"/>
      <c r="D225" s="272"/>
      <c r="E225" s="269"/>
      <c r="F225" s="269"/>
      <c r="G225" s="269"/>
      <c r="H225" s="269"/>
      <c r="I225" s="269"/>
      <c r="J225" s="269"/>
      <c r="K225" s="269"/>
      <c r="L225" s="269"/>
      <c r="M225" s="269"/>
      <c r="N225" s="269"/>
      <c r="O225" s="269"/>
      <c r="P225" s="269"/>
      <c r="Q225" s="269"/>
      <c r="R225" s="269"/>
      <c r="S225" s="269"/>
      <c r="T225" s="273"/>
      <c r="U225" s="273"/>
      <c r="V225" s="273"/>
      <c r="W225" s="274"/>
      <c r="X225" s="275"/>
      <c r="AA225" s="269"/>
      <c r="AB225" s="269"/>
    </row>
    <row r="226" spans="2:28" s="270" customFormat="1" x14ac:dyDescent="0.25">
      <c r="B226" s="271"/>
      <c r="C226" s="272"/>
      <c r="D226" s="272"/>
      <c r="E226" s="269"/>
      <c r="F226" s="269"/>
      <c r="G226" s="269"/>
      <c r="H226" s="269"/>
      <c r="I226" s="269"/>
      <c r="J226" s="269"/>
      <c r="K226" s="269"/>
      <c r="L226" s="269"/>
      <c r="M226" s="269"/>
      <c r="N226" s="269"/>
      <c r="O226" s="269"/>
      <c r="P226" s="269"/>
      <c r="Q226" s="269"/>
      <c r="R226" s="269"/>
      <c r="S226" s="269"/>
      <c r="T226" s="273"/>
      <c r="U226" s="273"/>
      <c r="V226" s="273"/>
      <c r="W226" s="274"/>
      <c r="X226" s="275"/>
      <c r="AA226" s="269"/>
      <c r="AB226" s="269"/>
    </row>
    <row r="227" spans="2:28" s="270" customFormat="1" x14ac:dyDescent="0.25">
      <c r="B227" s="271"/>
      <c r="C227" s="272"/>
      <c r="D227" s="272"/>
      <c r="E227" s="269"/>
      <c r="F227" s="269"/>
      <c r="G227" s="269"/>
      <c r="H227" s="269"/>
      <c r="I227" s="269"/>
      <c r="J227" s="269"/>
      <c r="K227" s="269"/>
      <c r="L227" s="269"/>
      <c r="M227" s="269"/>
      <c r="N227" s="269"/>
      <c r="O227" s="269"/>
      <c r="P227" s="269"/>
      <c r="Q227" s="269"/>
      <c r="R227" s="269"/>
      <c r="S227" s="269"/>
      <c r="T227" s="273"/>
      <c r="U227" s="273"/>
      <c r="V227" s="273"/>
      <c r="W227" s="274"/>
      <c r="X227" s="275"/>
      <c r="AA227" s="269"/>
      <c r="AB227" s="269"/>
    </row>
    <row r="228" spans="2:28" s="270" customFormat="1" x14ac:dyDescent="0.25">
      <c r="B228" s="271"/>
      <c r="C228" s="272"/>
      <c r="D228" s="272"/>
      <c r="E228" s="269"/>
      <c r="F228" s="269"/>
      <c r="G228" s="269"/>
      <c r="H228" s="269"/>
      <c r="I228" s="269"/>
      <c r="J228" s="269"/>
      <c r="K228" s="269"/>
      <c r="L228" s="269"/>
      <c r="M228" s="269"/>
      <c r="N228" s="269"/>
      <c r="O228" s="269"/>
      <c r="P228" s="269"/>
      <c r="Q228" s="269"/>
      <c r="R228" s="269"/>
      <c r="S228" s="269"/>
      <c r="T228" s="273"/>
      <c r="U228" s="273"/>
      <c r="V228" s="273"/>
      <c r="W228" s="274"/>
      <c r="X228" s="275"/>
      <c r="AA228" s="269"/>
      <c r="AB228" s="269"/>
    </row>
    <row r="229" spans="2:28" s="270" customFormat="1" x14ac:dyDescent="0.25">
      <c r="B229" s="271"/>
      <c r="C229" s="272"/>
      <c r="D229" s="272"/>
      <c r="E229" s="269"/>
      <c r="F229" s="269"/>
      <c r="G229" s="269"/>
      <c r="H229" s="269"/>
      <c r="I229" s="269"/>
      <c r="J229" s="269"/>
      <c r="K229" s="269"/>
      <c r="L229" s="269"/>
      <c r="M229" s="269"/>
      <c r="N229" s="269"/>
      <c r="O229" s="269"/>
      <c r="P229" s="269"/>
      <c r="Q229" s="269"/>
      <c r="R229" s="269"/>
      <c r="S229" s="269"/>
      <c r="T229" s="273"/>
      <c r="U229" s="273"/>
      <c r="V229" s="273"/>
      <c r="W229" s="274"/>
      <c r="X229" s="275"/>
      <c r="AA229" s="269"/>
      <c r="AB229" s="269"/>
    </row>
    <row r="230" spans="2:28" s="270" customFormat="1" x14ac:dyDescent="0.25">
      <c r="B230" s="271"/>
      <c r="C230" s="272"/>
      <c r="D230" s="272"/>
      <c r="E230" s="269"/>
      <c r="F230" s="269"/>
      <c r="G230" s="269"/>
      <c r="H230" s="269"/>
      <c r="I230" s="269"/>
      <c r="J230" s="269"/>
      <c r="K230" s="269"/>
      <c r="L230" s="269"/>
      <c r="M230" s="269"/>
      <c r="N230" s="269"/>
      <c r="O230" s="269"/>
      <c r="P230" s="269"/>
      <c r="Q230" s="269"/>
      <c r="R230" s="269"/>
      <c r="S230" s="269"/>
      <c r="T230" s="273"/>
      <c r="U230" s="273"/>
      <c r="V230" s="273"/>
      <c r="W230" s="274"/>
      <c r="X230" s="275"/>
      <c r="AA230" s="269"/>
      <c r="AB230" s="269"/>
    </row>
  </sheetData>
  <mergeCells count="3">
    <mergeCell ref="B2:B10"/>
    <mergeCell ref="C2:T8"/>
    <mergeCell ref="C9:P10"/>
  </mergeCells>
  <dataValidations count="3">
    <dataValidation type="list" allowBlank="1" showInputMessage="1" showErrorMessage="1" sqref="D13:D119" xr:uid="{31C4E88C-BE74-4D82-A47E-C82D5F2CA9FD}">
      <formula1>INDIRECT(B13)</formula1>
    </dataValidation>
    <dataValidation type="list" showInputMessage="1" showErrorMessage="1" sqref="B13:B119" xr:uid="{D637FE98-33FA-425A-9C48-7672DB1977AF}">
      <formula1>PARTIDAS</formula1>
    </dataValidation>
    <dataValidation type="list" allowBlank="1" showInputMessage="1" showErrorMessage="1" sqref="T13:T119" xr:uid="{F164B0AE-322D-40AE-881E-1E2FE0AAEA5B}">
      <formula1>FUENTE</formula1>
    </dataValidation>
  </dataValidations>
  <pageMargins left="0.23622047244094491" right="0.23622047244094491" top="0.74803149606299213" bottom="0.74803149606299213" header="0.31496062992125984" footer="0.31496062992125984"/>
  <pageSetup scale="65" orientation="landscape" r:id="rId1"/>
  <drawing r:id="rId2"/>
  <legacyDrawing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17DB1C23-C121-473F-9ADD-5132A34A55BD}">
          <x14:formula1>
            <xm:f>'D:\Documents\Seidy Zúñiga\1 PRESUPUESTO\2021\[0-Matriz POI-presupuesto 2021 consolidado al 04-10-2021.xlsx]Hoja2'!#REF!</xm:f>
          </x14:formula1>
          <xm:sqref>V13:V15 V17:V119 U13:U119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V26"/>
  <sheetViews>
    <sheetView showGridLines="0" tabSelected="1" zoomScale="90" zoomScaleNormal="90" workbookViewId="0">
      <pane xSplit="2" ySplit="4" topLeftCell="F5" activePane="bottomRight" state="frozen"/>
      <selection pane="topRight" activeCell="C1" sqref="C1"/>
      <selection pane="bottomLeft" activeCell="A5" sqref="A5"/>
      <selection pane="bottomRight" activeCell="N32" sqref="N32"/>
    </sheetView>
  </sheetViews>
  <sheetFormatPr baseColWidth="10" defaultRowHeight="12.75" x14ac:dyDescent="0.2"/>
  <cols>
    <col min="1" max="1" width="11.42578125" style="385"/>
    <col min="2" max="2" width="27" style="385" customWidth="1"/>
    <col min="3" max="3" width="18.85546875" style="384" customWidth="1"/>
    <col min="4" max="4" width="17.42578125" style="384" customWidth="1"/>
    <col min="5" max="5" width="17.7109375" style="384" customWidth="1"/>
    <col min="6" max="6" width="19.85546875" style="385" customWidth="1"/>
    <col min="7" max="7" width="18.42578125" style="384" hidden="1" customWidth="1"/>
    <col min="8" max="8" width="19" style="384" hidden="1" customWidth="1"/>
    <col min="9" max="9" width="18.85546875" style="384" hidden="1" customWidth="1"/>
    <col min="10" max="10" width="20" style="384" customWidth="1"/>
    <col min="11" max="11" width="18.5703125" style="384" hidden="1" customWidth="1"/>
    <col min="12" max="12" width="18.42578125" style="384" hidden="1" customWidth="1"/>
    <col min="13" max="13" width="18.28515625" style="384" hidden="1" customWidth="1"/>
    <col min="14" max="15" width="17.85546875" style="384" customWidth="1"/>
    <col min="16" max="16" width="18.42578125" style="384" customWidth="1"/>
    <col min="17" max="17" width="17.85546875" style="384" customWidth="1"/>
    <col min="18" max="18" width="18.140625" style="384" customWidth="1"/>
    <col min="19" max="19" width="19.85546875" style="384" customWidth="1"/>
    <col min="20" max="20" width="12.42578125" style="411" customWidth="1"/>
    <col min="21" max="21" width="17.42578125" style="385" bestFit="1" customWidth="1"/>
    <col min="22" max="22" width="18.140625" style="384" customWidth="1"/>
    <col min="23" max="16384" width="11.42578125" style="385"/>
  </cols>
  <sheetData>
    <row r="1" spans="2:21" x14ac:dyDescent="0.2">
      <c r="B1" s="446"/>
      <c r="C1" s="446"/>
      <c r="D1" s="446"/>
      <c r="E1" s="446"/>
      <c r="F1" s="446"/>
      <c r="G1" s="446"/>
      <c r="H1" s="446"/>
      <c r="I1" s="446"/>
      <c r="J1" s="446"/>
      <c r="K1" s="382"/>
      <c r="L1" s="382"/>
      <c r="M1" s="382"/>
      <c r="N1" s="382"/>
      <c r="O1" s="382"/>
      <c r="P1" s="382"/>
      <c r="Q1" s="382"/>
      <c r="R1" s="382"/>
      <c r="S1" s="382"/>
      <c r="T1" s="383"/>
      <c r="U1" s="384"/>
    </row>
    <row r="2" spans="2:21" x14ac:dyDescent="0.2">
      <c r="B2" s="446"/>
      <c r="C2" s="446"/>
      <c r="D2" s="446"/>
      <c r="E2" s="446"/>
      <c r="F2" s="446"/>
      <c r="G2" s="446"/>
      <c r="H2" s="446"/>
      <c r="I2" s="446"/>
      <c r="J2" s="446"/>
      <c r="K2" s="382"/>
      <c r="L2" s="382"/>
      <c r="M2" s="382"/>
      <c r="N2" s="382"/>
      <c r="O2" s="382"/>
      <c r="P2" s="382"/>
      <c r="Q2" s="382"/>
      <c r="R2" s="382"/>
      <c r="S2" s="382"/>
      <c r="T2" s="383"/>
      <c r="U2" s="384"/>
    </row>
    <row r="3" spans="2:21" x14ac:dyDescent="0.2">
      <c r="B3" s="446"/>
      <c r="C3" s="446"/>
      <c r="D3" s="446"/>
      <c r="E3" s="446"/>
      <c r="F3" s="446"/>
      <c r="G3" s="446"/>
      <c r="H3" s="446"/>
      <c r="I3" s="446"/>
      <c r="J3" s="446"/>
      <c r="K3" s="382"/>
      <c r="L3" s="382"/>
      <c r="M3" s="382"/>
      <c r="N3" s="382"/>
      <c r="O3" s="382"/>
      <c r="P3" s="382"/>
      <c r="Q3" s="382"/>
      <c r="R3" s="382"/>
      <c r="S3" s="382"/>
      <c r="T3" s="383"/>
      <c r="U3" s="384"/>
    </row>
    <row r="4" spans="2:21" ht="52.5" customHeight="1" x14ac:dyDescent="0.2">
      <c r="B4" s="379" t="s">
        <v>82</v>
      </c>
      <c r="C4" s="232" t="s">
        <v>443</v>
      </c>
      <c r="D4" s="232" t="s">
        <v>444</v>
      </c>
      <c r="E4" s="232" t="s">
        <v>445</v>
      </c>
      <c r="F4" s="380" t="s">
        <v>112</v>
      </c>
      <c r="G4" s="232" t="s">
        <v>106</v>
      </c>
      <c r="H4" s="233" t="s">
        <v>107</v>
      </c>
      <c r="I4" s="233" t="s">
        <v>108</v>
      </c>
      <c r="J4" s="232" t="s">
        <v>446</v>
      </c>
      <c r="K4" s="232" t="s">
        <v>147</v>
      </c>
      <c r="L4" s="233" t="s">
        <v>149</v>
      </c>
      <c r="M4" s="233" t="s">
        <v>148</v>
      </c>
      <c r="N4" s="232" t="s">
        <v>447</v>
      </c>
      <c r="O4" s="232" t="s">
        <v>523</v>
      </c>
      <c r="P4" s="232" t="s">
        <v>524</v>
      </c>
      <c r="Q4" s="232" t="s">
        <v>525</v>
      </c>
      <c r="R4" s="232" t="s">
        <v>548</v>
      </c>
      <c r="S4" s="232" t="s">
        <v>154</v>
      </c>
      <c r="T4" s="381" t="s">
        <v>83</v>
      </c>
    </row>
    <row r="5" spans="2:21" ht="21" customHeight="1" x14ac:dyDescent="0.2">
      <c r="B5" s="386" t="s">
        <v>26</v>
      </c>
      <c r="C5" s="387">
        <f>SUM(C6:C10)</f>
        <v>1828789575.8199999</v>
      </c>
      <c r="D5" s="387">
        <f>SUM(D6:D10)</f>
        <v>9111309.5099999905</v>
      </c>
      <c r="E5" s="387">
        <f>SUM(E6:E10)</f>
        <v>0</v>
      </c>
      <c r="F5" s="387">
        <f>+F6+F8+F10</f>
        <v>1837900885.3299999</v>
      </c>
      <c r="G5" s="387">
        <f t="shared" ref="G5:M5" si="0">+G6+G8+G10</f>
        <v>181175939.97999999</v>
      </c>
      <c r="H5" s="387">
        <f t="shared" si="0"/>
        <v>269649280.43000007</v>
      </c>
      <c r="I5" s="387">
        <f t="shared" si="0"/>
        <v>943172676.61000001</v>
      </c>
      <c r="J5" s="387">
        <f t="shared" si="0"/>
        <v>1393997897.02</v>
      </c>
      <c r="K5" s="387">
        <f t="shared" si="0"/>
        <v>182366684.47</v>
      </c>
      <c r="L5" s="387">
        <f t="shared" si="0"/>
        <v>102693900.48</v>
      </c>
      <c r="M5" s="387">
        <f t="shared" si="0"/>
        <v>104174126.03</v>
      </c>
      <c r="N5" s="387">
        <f>SUM(K5:M5)</f>
        <v>389234710.98000002</v>
      </c>
      <c r="O5" s="387">
        <f>+O6+O8+O10</f>
        <v>102151570.09</v>
      </c>
      <c r="P5" s="387">
        <f t="shared" ref="P5" si="1">+P6+P8+P10</f>
        <v>101608631.78</v>
      </c>
      <c r="Q5" s="387">
        <f t="shared" ref="Q5" si="2">+Q6+Q8+Q10</f>
        <v>114000382.13</v>
      </c>
      <c r="R5" s="387">
        <f>SUM(O5:Q5)</f>
        <v>317760584</v>
      </c>
      <c r="S5" s="387">
        <f>+J5+N5+R5</f>
        <v>2100993192</v>
      </c>
      <c r="T5" s="388">
        <f>+S5/F5</f>
        <v>1.1431482561274033</v>
      </c>
    </row>
    <row r="6" spans="2:21" x14ac:dyDescent="0.2">
      <c r="B6" s="389" t="s">
        <v>7</v>
      </c>
      <c r="C6" s="390">
        <v>0</v>
      </c>
      <c r="D6" s="390">
        <v>0</v>
      </c>
      <c r="E6" s="390">
        <v>0</v>
      </c>
      <c r="F6" s="390">
        <f>SUM(C6:D6)</f>
        <v>0</v>
      </c>
      <c r="G6" s="390">
        <f>+'Tabla 3 Ingresos por partida'!E7</f>
        <v>902034.38</v>
      </c>
      <c r="H6" s="390">
        <f>+'Tabla 3 Ingresos por partida'!F7</f>
        <v>479641.97</v>
      </c>
      <c r="I6" s="390">
        <f>+'Tabla 3 Ingresos por partida'!G7</f>
        <v>4613144.7</v>
      </c>
      <c r="J6" s="390">
        <f>SUM(G6:I6)</f>
        <v>5994821.0500000007</v>
      </c>
      <c r="K6" s="390">
        <f>+'Tabla 3 Ingresos por partida'!I7</f>
        <v>741891.96000000008</v>
      </c>
      <c r="L6" s="390">
        <f>+'Tabla 3 Ingresos por partida'!J7</f>
        <v>904288.4</v>
      </c>
      <c r="M6" s="390">
        <f>+'Tabla 3 Ingresos por partida'!K7</f>
        <v>3297902.92</v>
      </c>
      <c r="N6" s="390">
        <f>SUM(K6:M6)</f>
        <v>4944083.28</v>
      </c>
      <c r="O6" s="390">
        <f>+'Tabla 3 Ingresos por partida'!M7</f>
        <v>1275346.98</v>
      </c>
      <c r="P6" s="390">
        <f>+'Tabla 3 Ingresos por partida'!N7</f>
        <v>732408.67000000027</v>
      </c>
      <c r="Q6" s="390">
        <f>+'Tabla 3 Ingresos por partida'!O7</f>
        <v>13124159.02</v>
      </c>
      <c r="R6" s="390">
        <f>SUM(O6:Q6)</f>
        <v>15131914.67</v>
      </c>
      <c r="S6" s="390">
        <f>+J6+N6+R6</f>
        <v>26070819</v>
      </c>
      <c r="T6" s="391">
        <v>1</v>
      </c>
    </row>
    <row r="7" spans="2:21" ht="6.75" customHeight="1" x14ac:dyDescent="0.2">
      <c r="B7" s="389"/>
      <c r="C7" s="390"/>
      <c r="D7" s="390"/>
      <c r="E7" s="390"/>
      <c r="F7" s="390"/>
      <c r="G7" s="392"/>
      <c r="H7" s="392"/>
      <c r="I7" s="392"/>
      <c r="J7" s="392"/>
      <c r="K7" s="392"/>
      <c r="L7" s="392"/>
      <c r="M7" s="392"/>
      <c r="N7" s="392"/>
      <c r="O7" s="392"/>
      <c r="P7" s="392"/>
      <c r="Q7" s="392"/>
      <c r="R7" s="392"/>
      <c r="S7" s="392"/>
      <c r="T7" s="393"/>
    </row>
    <row r="8" spans="2:21" x14ac:dyDescent="0.2">
      <c r="B8" s="389" t="s">
        <v>2</v>
      </c>
      <c r="C8" s="390">
        <v>1828789575.8199999</v>
      </c>
      <c r="D8" s="390">
        <v>-221066061.46000001</v>
      </c>
      <c r="E8" s="390">
        <v>0</v>
      </c>
      <c r="F8" s="390">
        <f>SUM(C8:D8)</f>
        <v>1607723514.3599999</v>
      </c>
      <c r="G8" s="392">
        <f>+'Tabla 3 Ingresos por partida'!E24</f>
        <v>180273905.59999999</v>
      </c>
      <c r="H8" s="392">
        <f>+'Tabla 3 Ingresos por partida'!F24</f>
        <v>269169638.46000004</v>
      </c>
      <c r="I8" s="392">
        <f>+'Tabla 3 Ingresos por partida'!G24</f>
        <v>101789612.08</v>
      </c>
      <c r="J8" s="392">
        <f>SUM(G8:I8)</f>
        <v>551233156.1400001</v>
      </c>
      <c r="K8" s="392">
        <f>+'Tabla 3 Ingresos por partida'!I24</f>
        <v>181624792.50999999</v>
      </c>
      <c r="L8" s="392">
        <f>+'Tabla 3 Ingresos por partida'!J24</f>
        <v>101789612.08</v>
      </c>
      <c r="M8" s="392">
        <f>+'Tabla 3 Ingresos por partida'!K24</f>
        <v>100876223.11</v>
      </c>
      <c r="N8" s="392">
        <f>SUM(K8:M8)</f>
        <v>384290627.69999999</v>
      </c>
      <c r="O8" s="392">
        <f>+'Tabla 3 Ingresos por partida'!M24</f>
        <v>100876223.11</v>
      </c>
      <c r="P8" s="392">
        <f>+'Tabla 3 Ingresos por partida'!N24</f>
        <v>100876223.11</v>
      </c>
      <c r="Q8" s="392">
        <f>+'Tabla 3 Ingresos por partida'!O24</f>
        <v>100876223.11</v>
      </c>
      <c r="R8" s="392">
        <f>SUM(O8:Q8)</f>
        <v>302628669.32999998</v>
      </c>
      <c r="S8" s="392">
        <f>+J8+N8+R8</f>
        <v>1238152453.1700001</v>
      </c>
      <c r="T8" s="391">
        <f>+S8/F8</f>
        <v>0.770127725389948</v>
      </c>
      <c r="U8" s="394"/>
    </row>
    <row r="9" spans="2:21" ht="6.75" customHeight="1" x14ac:dyDescent="0.2">
      <c r="B9" s="389"/>
      <c r="C9" s="390"/>
      <c r="D9" s="390"/>
      <c r="E9" s="390"/>
      <c r="F9" s="390"/>
      <c r="G9" s="392"/>
      <c r="H9" s="392"/>
      <c r="I9" s="392"/>
      <c r="J9" s="392"/>
      <c r="K9" s="392"/>
      <c r="L9" s="392"/>
      <c r="M9" s="392"/>
      <c r="N9" s="392"/>
      <c r="O9" s="392"/>
      <c r="P9" s="392"/>
      <c r="Q9" s="392"/>
      <c r="R9" s="392"/>
      <c r="S9" s="392"/>
      <c r="T9" s="393"/>
    </row>
    <row r="10" spans="2:21" x14ac:dyDescent="0.2">
      <c r="B10" s="389" t="s">
        <v>10</v>
      </c>
      <c r="C10" s="390">
        <v>0</v>
      </c>
      <c r="D10" s="390">
        <v>230177370.97</v>
      </c>
      <c r="E10" s="390">
        <v>0</v>
      </c>
      <c r="F10" s="390">
        <f>SUM(C10:D10)</f>
        <v>230177370.97</v>
      </c>
      <c r="G10" s="392">
        <f>+'Tabla 3 Ingresos por partida'!E38</f>
        <v>0</v>
      </c>
      <c r="H10" s="392">
        <f>+'Tabla 3 Ingresos por partida'!F38</f>
        <v>0</v>
      </c>
      <c r="I10" s="392">
        <f>+'Tabla 3 Ingresos por partida'!G38</f>
        <v>836769919.83000004</v>
      </c>
      <c r="J10" s="392">
        <f>SUM(G10:I10)</f>
        <v>836769919.83000004</v>
      </c>
      <c r="K10" s="392">
        <f>+'Tabla 3 Ingresos por partida'!I38</f>
        <v>0</v>
      </c>
      <c r="L10" s="392">
        <f>+'Tabla 3 Ingresos por partida'!J38</f>
        <v>0</v>
      </c>
      <c r="M10" s="392">
        <f>+'Tabla 3 Ingresos por partida'!K38</f>
        <v>0</v>
      </c>
      <c r="N10" s="392">
        <f>SUM(K10:M10)</f>
        <v>0</v>
      </c>
      <c r="O10" s="392">
        <f>+'Tabla 3 Ingresos por partida'!M36</f>
        <v>0</v>
      </c>
      <c r="P10" s="392">
        <f>+'Tabla 3 Ingresos por partida'!N36</f>
        <v>0</v>
      </c>
      <c r="Q10" s="392">
        <f>+'Tabla 3 Ingresos por partida'!O36</f>
        <v>0</v>
      </c>
      <c r="R10" s="392">
        <f>SUM(O10:Q10)</f>
        <v>0</v>
      </c>
      <c r="S10" s="392">
        <f>+J10+N10+R10</f>
        <v>836769919.83000004</v>
      </c>
      <c r="T10" s="391">
        <v>1</v>
      </c>
    </row>
    <row r="11" spans="2:21" ht="6.75" customHeight="1" x14ac:dyDescent="0.2">
      <c r="B11" s="395"/>
      <c r="C11" s="396"/>
      <c r="D11" s="396"/>
      <c r="E11" s="396"/>
      <c r="F11" s="397"/>
      <c r="G11" s="398"/>
      <c r="H11" s="398"/>
      <c r="I11" s="398"/>
      <c r="J11" s="398"/>
      <c r="K11" s="398"/>
      <c r="L11" s="398"/>
      <c r="M11" s="398"/>
      <c r="N11" s="398"/>
      <c r="O11" s="398"/>
      <c r="P11" s="398"/>
      <c r="Q11" s="398"/>
      <c r="R11" s="398"/>
      <c r="S11" s="398"/>
      <c r="T11" s="393"/>
    </row>
    <row r="12" spans="2:21" ht="13.5" customHeight="1" x14ac:dyDescent="0.2">
      <c r="B12" s="399"/>
      <c r="C12" s="400"/>
      <c r="D12" s="400"/>
      <c r="E12" s="400"/>
      <c r="F12" s="401"/>
      <c r="G12" s="402"/>
      <c r="H12" s="402"/>
      <c r="I12" s="402"/>
      <c r="J12" s="402"/>
      <c r="K12" s="402"/>
      <c r="L12" s="402"/>
      <c r="M12" s="402"/>
      <c r="N12" s="402"/>
      <c r="O12" s="402"/>
      <c r="P12" s="402"/>
      <c r="Q12" s="402"/>
      <c r="R12" s="402"/>
      <c r="S12" s="402"/>
      <c r="T12" s="403"/>
    </row>
    <row r="13" spans="2:21" ht="21" customHeight="1" x14ac:dyDescent="0.2">
      <c r="B13" s="386" t="s">
        <v>27</v>
      </c>
      <c r="C13" s="387">
        <f>SUM(C14:C19)</f>
        <v>1828789575.8200002</v>
      </c>
      <c r="D13" s="387">
        <f>SUM(D14:D19)</f>
        <v>9111309.5099999998</v>
      </c>
      <c r="E13" s="387">
        <f>SUM(E14:E19)</f>
        <v>0</v>
      </c>
      <c r="F13" s="404">
        <f>SUM(F14:F19)</f>
        <v>1837900885.3300002</v>
      </c>
      <c r="G13" s="404">
        <f t="shared" ref="G13:I13" si="3">SUM(G14:G19)</f>
        <v>173283935.34999999</v>
      </c>
      <c r="H13" s="404">
        <f t="shared" si="3"/>
        <v>332682323.18000001</v>
      </c>
      <c r="I13" s="404">
        <f t="shared" si="3"/>
        <v>92698257.700000003</v>
      </c>
      <c r="J13" s="404">
        <f>SUM(J14:J19)</f>
        <v>598664516.23000002</v>
      </c>
      <c r="K13" s="404">
        <f t="shared" ref="K13:M13" si="4">SUM(K14:K19)</f>
        <v>108970560.51000001</v>
      </c>
      <c r="L13" s="404">
        <f t="shared" si="4"/>
        <v>104177977.23000002</v>
      </c>
      <c r="M13" s="404">
        <f t="shared" si="4"/>
        <v>96477681.410000011</v>
      </c>
      <c r="N13" s="404">
        <f>SUM(K13:M13)</f>
        <v>309626219.15000004</v>
      </c>
      <c r="O13" s="404">
        <f t="shared" ref="O13:P13" si="5">SUM(O14:O19)</f>
        <v>98296521.770000011</v>
      </c>
      <c r="P13" s="404">
        <f t="shared" si="5"/>
        <v>88099529.799999997</v>
      </c>
      <c r="Q13" s="404">
        <f>SUM(Q14:Q19)</f>
        <v>102694348.97</v>
      </c>
      <c r="R13" s="404">
        <f>SUM(O13:Q13)</f>
        <v>289090400.53999996</v>
      </c>
      <c r="S13" s="404">
        <f>+J13+N13+R13</f>
        <v>1197381135.9200001</v>
      </c>
      <c r="T13" s="388">
        <f>+S13/F13</f>
        <v>0.65149385664777404</v>
      </c>
    </row>
    <row r="14" spans="2:21" x14ac:dyDescent="0.2">
      <c r="B14" s="389" t="s">
        <v>3</v>
      </c>
      <c r="C14" s="390">
        <v>1079457084.7</v>
      </c>
      <c r="D14" s="390">
        <v>-6393722.7999999998</v>
      </c>
      <c r="E14" s="390">
        <f>-10893722.8-D14</f>
        <v>-4500000.0000000009</v>
      </c>
      <c r="F14" s="390">
        <f>SUM(C14:E14)</f>
        <v>1068563361.9000001</v>
      </c>
      <c r="G14" s="390">
        <v>130256270.25</v>
      </c>
      <c r="H14" s="390">
        <v>86139534.540000007</v>
      </c>
      <c r="I14" s="390">
        <v>76402676.819999993</v>
      </c>
      <c r="J14" s="390">
        <f>SUM(G14:I14)</f>
        <v>292798481.61000001</v>
      </c>
      <c r="K14" s="390">
        <f>31430186.79+38286362.6</f>
        <v>69716549.390000001</v>
      </c>
      <c r="L14" s="390">
        <f>31538717.92+34939260.13</f>
        <v>66477978.050000004</v>
      </c>
      <c r="M14" s="390">
        <f>31666688.74+38244327.6</f>
        <v>69911016.340000004</v>
      </c>
      <c r="N14" s="390">
        <f>SUM(K14:M14)</f>
        <v>206105543.78</v>
      </c>
      <c r="O14" s="390">
        <v>69729301.170000002</v>
      </c>
      <c r="P14" s="390">
        <v>69488647.260000005</v>
      </c>
      <c r="Q14" s="390">
        <v>70071222.620000005</v>
      </c>
      <c r="R14" s="390">
        <f>SUM(O14:Q14)</f>
        <v>209289171.05000001</v>
      </c>
      <c r="S14" s="390">
        <f t="shared" ref="S14:S18" si="6">+J14+N14+R14</f>
        <v>708193196.44000006</v>
      </c>
      <c r="T14" s="391">
        <f>+S14/F14</f>
        <v>0.66275264686295243</v>
      </c>
    </row>
    <row r="15" spans="2:21" x14ac:dyDescent="0.2">
      <c r="B15" s="389" t="s">
        <v>0</v>
      </c>
      <c r="C15" s="390">
        <v>88348031.400000006</v>
      </c>
      <c r="D15" s="390">
        <v>0</v>
      </c>
      <c r="E15" s="390">
        <v>25958300</v>
      </c>
      <c r="F15" s="390">
        <f t="shared" ref="F15:F19" si="7">SUM(C15:E15)</f>
        <v>114306331.40000001</v>
      </c>
      <c r="G15" s="390">
        <v>1825593.02</v>
      </c>
      <c r="H15" s="390">
        <v>10208048.869999999</v>
      </c>
      <c r="I15" s="390">
        <v>7746156.6799999997</v>
      </c>
      <c r="J15" s="390">
        <f t="shared" ref="J15:J19" si="8">SUM(G15:I15)</f>
        <v>19779798.57</v>
      </c>
      <c r="K15" s="390">
        <v>5068258.62</v>
      </c>
      <c r="L15" s="390">
        <v>5045458.75</v>
      </c>
      <c r="M15" s="390">
        <v>5946670.1799999997</v>
      </c>
      <c r="N15" s="390">
        <f>SUM(K15:M15)</f>
        <v>16060387.550000001</v>
      </c>
      <c r="O15" s="390">
        <v>5653315.4500000002</v>
      </c>
      <c r="P15" s="390">
        <v>9951524.6799999997</v>
      </c>
      <c r="Q15" s="390">
        <v>5249961.42</v>
      </c>
      <c r="R15" s="390">
        <f>SUM(O15:Q15)</f>
        <v>20854801.549999997</v>
      </c>
      <c r="S15" s="390">
        <f t="shared" si="6"/>
        <v>56694987.670000002</v>
      </c>
      <c r="T15" s="391">
        <f t="shared" ref="T15:T19" si="9">+S15/F15</f>
        <v>0.49599166534007055</v>
      </c>
    </row>
    <row r="16" spans="2:21" x14ac:dyDescent="0.2">
      <c r="B16" s="389" t="s">
        <v>11</v>
      </c>
      <c r="C16" s="390">
        <v>1520000</v>
      </c>
      <c r="D16" s="390">
        <v>0</v>
      </c>
      <c r="E16" s="390">
        <v>425000</v>
      </c>
      <c r="F16" s="390">
        <f t="shared" si="7"/>
        <v>1945000</v>
      </c>
      <c r="G16" s="390">
        <v>0</v>
      </c>
      <c r="H16" s="390">
        <v>0</v>
      </c>
      <c r="I16" s="390">
        <v>25449.7</v>
      </c>
      <c r="J16" s="390">
        <f t="shared" si="8"/>
        <v>25449.7</v>
      </c>
      <c r="K16" s="390">
        <v>23005</v>
      </c>
      <c r="L16" s="390">
        <v>0</v>
      </c>
      <c r="M16" s="390">
        <v>29002</v>
      </c>
      <c r="N16" s="390">
        <f t="shared" ref="N16:N19" si="10">SUM(K16:M16)</f>
        <v>52007</v>
      </c>
      <c r="O16" s="390">
        <v>0</v>
      </c>
      <c r="P16" s="390">
        <v>47594</v>
      </c>
      <c r="Q16" s="390">
        <v>36500</v>
      </c>
      <c r="R16" s="390">
        <f t="shared" ref="R16:R19" si="11">SUM(O16:Q16)</f>
        <v>84094</v>
      </c>
      <c r="S16" s="390">
        <f t="shared" si="6"/>
        <v>161550.70000000001</v>
      </c>
      <c r="T16" s="391">
        <f t="shared" si="9"/>
        <v>8.305948586118253E-2</v>
      </c>
      <c r="U16" s="394"/>
    </row>
    <row r="17" spans="2:22" x14ac:dyDescent="0.2">
      <c r="B17" s="389" t="s">
        <v>4</v>
      </c>
      <c r="C17" s="390">
        <v>23914698.82</v>
      </c>
      <c r="D17" s="390">
        <v>9974871.1799999997</v>
      </c>
      <c r="E17" s="390">
        <f>18174871.18-D17</f>
        <v>8200000</v>
      </c>
      <c r="F17" s="390">
        <f t="shared" si="7"/>
        <v>42089570</v>
      </c>
      <c r="G17" s="390">
        <v>0</v>
      </c>
      <c r="H17" s="390">
        <v>0</v>
      </c>
      <c r="I17" s="390">
        <v>0</v>
      </c>
      <c r="J17" s="390">
        <f t="shared" si="8"/>
        <v>0</v>
      </c>
      <c r="K17" s="390">
        <v>709187.28</v>
      </c>
      <c r="L17" s="390">
        <v>0</v>
      </c>
      <c r="M17" s="390">
        <v>0</v>
      </c>
      <c r="N17" s="390">
        <f t="shared" si="10"/>
        <v>709187.28</v>
      </c>
      <c r="O17" s="390">
        <v>0</v>
      </c>
      <c r="P17" s="390">
        <v>0</v>
      </c>
      <c r="Q17" s="390">
        <v>0</v>
      </c>
      <c r="R17" s="390">
        <f t="shared" si="11"/>
        <v>0</v>
      </c>
      <c r="S17" s="390">
        <f t="shared" si="6"/>
        <v>709187.28</v>
      </c>
      <c r="T17" s="391">
        <f t="shared" si="9"/>
        <v>1.6849477911035918E-2</v>
      </c>
    </row>
    <row r="18" spans="2:22" x14ac:dyDescent="0.2">
      <c r="B18" s="389" t="s">
        <v>2</v>
      </c>
      <c r="C18" s="390">
        <v>596934889.59000003</v>
      </c>
      <c r="D18" s="390">
        <v>5530161.1299999999</v>
      </c>
      <c r="E18" s="390">
        <f>12558109.19-D18</f>
        <v>7027948.0599999996</v>
      </c>
      <c r="F18" s="390">
        <f t="shared" si="7"/>
        <v>609492998.77999997</v>
      </c>
      <c r="G18" s="390">
        <v>41202072.079999998</v>
      </c>
      <c r="H18" s="390">
        <v>236334739.77000001</v>
      </c>
      <c r="I18" s="390">
        <v>8523974.5</v>
      </c>
      <c r="J18" s="390">
        <f t="shared" si="8"/>
        <v>286060786.35000002</v>
      </c>
      <c r="K18" s="390">
        <f>23037302.1+10416258.12</f>
        <v>33453560.219999999</v>
      </c>
      <c r="L18" s="390">
        <f>31210884.1+1443656.33</f>
        <v>32654540.43</v>
      </c>
      <c r="M18" s="390">
        <f>14545461.5+6045531.39</f>
        <v>20590992.890000001</v>
      </c>
      <c r="N18" s="390">
        <f t="shared" si="10"/>
        <v>86699093.539999992</v>
      </c>
      <c r="O18" s="390">
        <v>22913905.149999999</v>
      </c>
      <c r="P18" s="390">
        <v>8611763.8599999994</v>
      </c>
      <c r="Q18" s="390">
        <f>27335596.93+1068</f>
        <v>27336664.93</v>
      </c>
      <c r="R18" s="390">
        <f>SUM(O18:Q18)</f>
        <v>58862333.939999998</v>
      </c>
      <c r="S18" s="390">
        <f t="shared" si="6"/>
        <v>431622213.82999998</v>
      </c>
      <c r="T18" s="391">
        <f t="shared" si="9"/>
        <v>0.70816599156013693</v>
      </c>
    </row>
    <row r="19" spans="2:22" x14ac:dyDescent="0.2">
      <c r="B19" s="389" t="s">
        <v>13</v>
      </c>
      <c r="C19" s="390">
        <v>38614871.310000002</v>
      </c>
      <c r="D19" s="390">
        <v>0</v>
      </c>
      <c r="E19" s="390">
        <v>-37111248.060000002</v>
      </c>
      <c r="F19" s="390">
        <f t="shared" si="7"/>
        <v>1503623.25</v>
      </c>
      <c r="G19" s="390">
        <v>0</v>
      </c>
      <c r="H19" s="390">
        <v>0</v>
      </c>
      <c r="I19" s="390">
        <v>0</v>
      </c>
      <c r="J19" s="390">
        <f t="shared" si="8"/>
        <v>0</v>
      </c>
      <c r="K19" s="390">
        <v>0</v>
      </c>
      <c r="L19" s="390">
        <v>0</v>
      </c>
      <c r="M19" s="390">
        <v>0</v>
      </c>
      <c r="N19" s="390">
        <f t="shared" si="10"/>
        <v>0</v>
      </c>
      <c r="O19" s="390">
        <v>0</v>
      </c>
      <c r="P19" s="390">
        <v>0</v>
      </c>
      <c r="Q19" s="390">
        <v>0</v>
      </c>
      <c r="R19" s="390">
        <f t="shared" si="11"/>
        <v>0</v>
      </c>
      <c r="S19" s="390">
        <f t="shared" ref="S19" si="12">+J19+N19</f>
        <v>0</v>
      </c>
      <c r="T19" s="391">
        <f t="shared" si="9"/>
        <v>0</v>
      </c>
    </row>
    <row r="20" spans="2:22" x14ac:dyDescent="0.2">
      <c r="B20" s="405" t="s">
        <v>442</v>
      </c>
      <c r="C20" s="406"/>
      <c r="D20" s="406"/>
      <c r="E20" s="406"/>
      <c r="F20" s="406"/>
      <c r="G20" s="406"/>
      <c r="H20" s="406"/>
      <c r="I20" s="406"/>
      <c r="J20" s="406"/>
      <c r="K20" s="406"/>
      <c r="L20" s="406"/>
      <c r="M20" s="406"/>
      <c r="N20" s="406"/>
      <c r="O20" s="406"/>
      <c r="P20" s="406"/>
      <c r="Q20" s="406"/>
      <c r="R20" s="406"/>
      <c r="S20" s="406">
        <f>+S5-S13</f>
        <v>903612056.07999992</v>
      </c>
      <c r="T20" s="300">
        <f>+S13/S5</f>
        <v>0.56991195425063523</v>
      </c>
    </row>
    <row r="21" spans="2:22" ht="20.25" customHeight="1" x14ac:dyDescent="0.2">
      <c r="B21" s="447" t="s">
        <v>564</v>
      </c>
      <c r="C21" s="447"/>
      <c r="D21" s="447"/>
      <c r="E21" s="447"/>
      <c r="F21" s="447"/>
      <c r="G21" s="447"/>
      <c r="H21" s="447"/>
      <c r="I21" s="447"/>
      <c r="J21" s="447"/>
      <c r="K21" s="447"/>
      <c r="L21" s="447"/>
      <c r="M21" s="447"/>
      <c r="N21" s="447"/>
      <c r="O21" s="447"/>
      <c r="P21" s="447"/>
      <c r="Q21" s="447"/>
      <c r="R21" s="447"/>
      <c r="S21" s="447"/>
      <c r="T21" s="447"/>
    </row>
    <row r="22" spans="2:22" s="410" customFormat="1" x14ac:dyDescent="0.2">
      <c r="B22" s="407"/>
      <c r="C22" s="398"/>
      <c r="D22" s="398"/>
      <c r="E22" s="398"/>
      <c r="F22" s="407"/>
      <c r="G22" s="408"/>
      <c r="H22" s="408"/>
      <c r="I22" s="408"/>
      <c r="J22" s="408"/>
      <c r="K22" s="408"/>
      <c r="L22" s="408"/>
      <c r="M22" s="408"/>
      <c r="N22" s="408"/>
      <c r="O22" s="408"/>
      <c r="P22" s="408"/>
      <c r="Q22" s="408"/>
      <c r="R22" s="408"/>
      <c r="S22" s="408"/>
      <c r="T22" s="409"/>
      <c r="V22" s="408"/>
    </row>
    <row r="26" spans="2:22" x14ac:dyDescent="0.2">
      <c r="F26" s="394"/>
    </row>
  </sheetData>
  <mergeCells count="4">
    <mergeCell ref="B3:J3"/>
    <mergeCell ref="B1:J1"/>
    <mergeCell ref="B2:J2"/>
    <mergeCell ref="B21:T21"/>
  </mergeCells>
  <pageMargins left="0.7" right="0.7" top="0.75" bottom="0.75" header="0.3" footer="0.3"/>
  <pageSetup paperSize="9" orientation="portrait" r:id="rId1"/>
  <ignoredErrors>
    <ignoredError sqref="J14:J19 F6:F12" formulaRange="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G25"/>
  <sheetViews>
    <sheetView showGridLines="0" zoomScale="90" zoomScaleNormal="90" workbookViewId="0">
      <selection activeCell="F33" sqref="F33"/>
    </sheetView>
  </sheetViews>
  <sheetFormatPr baseColWidth="10" defaultRowHeight="15" x14ac:dyDescent="0.25"/>
  <cols>
    <col min="1" max="1" width="11.42578125" style="16"/>
    <col min="2" max="2" width="57.42578125" style="16" customWidth="1"/>
    <col min="3" max="3" width="21.7109375" style="16" customWidth="1"/>
    <col min="4" max="4" width="20.85546875" style="16" customWidth="1"/>
    <col min="5" max="5" width="20.5703125" style="16" customWidth="1"/>
    <col min="6" max="6" width="15.140625" style="135" customWidth="1"/>
    <col min="7" max="7" width="20.28515625" style="16" bestFit="1" customWidth="1"/>
    <col min="8" max="8" width="19" style="16" customWidth="1"/>
    <col min="9" max="9" width="11.42578125" style="16"/>
    <col min="10" max="10" width="17.42578125" style="16" bestFit="1" customWidth="1"/>
    <col min="11" max="16384" width="11.42578125" style="16"/>
  </cols>
  <sheetData>
    <row r="2" spans="2:7" x14ac:dyDescent="0.25">
      <c r="B2" s="448"/>
      <c r="C2" s="448"/>
      <c r="D2" s="448"/>
      <c r="E2" s="448"/>
      <c r="F2" s="448"/>
    </row>
    <row r="3" spans="2:7" x14ac:dyDescent="0.25">
      <c r="B3" s="448"/>
      <c r="C3" s="448"/>
      <c r="D3" s="448"/>
      <c r="E3" s="448"/>
      <c r="F3" s="448"/>
    </row>
    <row r="4" spans="2:7" x14ac:dyDescent="0.25">
      <c r="B4" s="134"/>
    </row>
    <row r="5" spans="2:7" ht="50.25" customHeight="1" x14ac:dyDescent="0.25">
      <c r="B5" s="136" t="s">
        <v>104</v>
      </c>
      <c r="C5" s="137" t="s">
        <v>112</v>
      </c>
      <c r="D5" s="137" t="s">
        <v>27</v>
      </c>
      <c r="E5" s="137" t="s">
        <v>501</v>
      </c>
      <c r="F5" s="11" t="s">
        <v>111</v>
      </c>
      <c r="G5" s="3"/>
    </row>
    <row r="6" spans="2:7" ht="6.75" customHeight="1" x14ac:dyDescent="0.25">
      <c r="B6" s="6"/>
      <c r="C6" s="7"/>
      <c r="D6" s="7"/>
      <c r="E6" s="138"/>
      <c r="F6" s="139"/>
      <c r="G6" s="161"/>
    </row>
    <row r="7" spans="2:7" ht="6.75" customHeight="1" x14ac:dyDescent="0.25">
      <c r="B7" s="6"/>
      <c r="C7" s="7"/>
      <c r="D7" s="7"/>
      <c r="E7" s="138"/>
      <c r="F7" s="139"/>
      <c r="G7" s="161"/>
    </row>
    <row r="8" spans="2:7" x14ac:dyDescent="0.25">
      <c r="B8" s="140" t="s">
        <v>2</v>
      </c>
      <c r="C8" s="141">
        <f>SUM(C9:C14)</f>
        <v>1607723514.3599999</v>
      </c>
      <c r="D8" s="141">
        <f>SUM(D9:D14)</f>
        <v>1115191507.79</v>
      </c>
      <c r="E8" s="142">
        <f>+C8-D8</f>
        <v>492532006.56999993</v>
      </c>
      <c r="F8" s="143">
        <f>+D8/C8</f>
        <v>0.69364632527249792</v>
      </c>
      <c r="G8" s="147"/>
    </row>
    <row r="9" spans="2:7" x14ac:dyDescent="0.25">
      <c r="B9" s="144" t="s">
        <v>22</v>
      </c>
      <c r="C9" s="10">
        <f>600000+3096301.35</f>
        <v>3696301.35</v>
      </c>
      <c r="D9" s="10">
        <v>0</v>
      </c>
      <c r="E9" s="9">
        <f>+C9-D9</f>
        <v>3696301.35</v>
      </c>
      <c r="F9" s="145">
        <f>+D9/C9</f>
        <v>0</v>
      </c>
      <c r="G9" s="147"/>
    </row>
    <row r="10" spans="2:7" s="146" customFormat="1" x14ac:dyDescent="0.25">
      <c r="B10" s="144" t="s">
        <v>15</v>
      </c>
      <c r="C10" s="10">
        <f>1249880479.8-6393722.8</f>
        <v>1243486757</v>
      </c>
      <c r="D10" s="10">
        <f>780577859.91+1068</f>
        <v>780578927.90999997</v>
      </c>
      <c r="E10" s="9">
        <f>+C10-D10</f>
        <v>462907829.09000003</v>
      </c>
      <c r="F10" s="145">
        <f t="shared" ref="F10:F13" si="0">+D10/C10</f>
        <v>0.62773400964333714</v>
      </c>
      <c r="G10" s="185"/>
    </row>
    <row r="11" spans="2:7" s="146" customFormat="1" hidden="1" x14ac:dyDescent="0.25">
      <c r="B11" s="144" t="s">
        <v>84</v>
      </c>
      <c r="C11" s="10">
        <v>0</v>
      </c>
      <c r="D11" s="10"/>
      <c r="E11" s="9">
        <f t="shared" ref="E11:E14" si="1">+C11-D11</f>
        <v>0</v>
      </c>
      <c r="F11" s="145" t="e">
        <f t="shared" si="0"/>
        <v>#DIV/0!</v>
      </c>
      <c r="G11" s="186"/>
    </row>
    <row r="12" spans="2:7" s="146" customFormat="1" x14ac:dyDescent="0.25">
      <c r="B12" s="144" t="s">
        <v>16</v>
      </c>
      <c r="C12" s="10">
        <v>262603199</v>
      </c>
      <c r="D12" s="9">
        <v>261159637</v>
      </c>
      <c r="E12" s="9">
        <f t="shared" si="1"/>
        <v>1443562</v>
      </c>
      <c r="F12" s="145">
        <f t="shared" si="0"/>
        <v>0.99450287732404963</v>
      </c>
      <c r="G12" s="185"/>
    </row>
    <row r="13" spans="2:7" x14ac:dyDescent="0.25">
      <c r="B13" s="144" t="s">
        <v>17</v>
      </c>
      <c r="C13" s="10">
        <v>97937257.010000005</v>
      </c>
      <c r="D13" s="10">
        <v>73452942.879999995</v>
      </c>
      <c r="E13" s="9">
        <f t="shared" si="1"/>
        <v>24484314.13000001</v>
      </c>
      <c r="F13" s="145">
        <f t="shared" si="0"/>
        <v>0.75000000125080069</v>
      </c>
      <c r="G13" s="147"/>
    </row>
    <row r="14" spans="2:7" s="3" customFormat="1" hidden="1" x14ac:dyDescent="0.25">
      <c r="B14" s="144" t="s">
        <v>24</v>
      </c>
      <c r="C14" s="10">
        <f>50000000-50000000</f>
        <v>0</v>
      </c>
      <c r="D14" s="10">
        <v>0</v>
      </c>
      <c r="E14" s="9">
        <f t="shared" si="1"/>
        <v>0</v>
      </c>
      <c r="F14" s="145">
        <v>1</v>
      </c>
      <c r="G14" s="147"/>
    </row>
    <row r="15" spans="2:7" ht="6.75" customHeight="1" x14ac:dyDescent="0.25">
      <c r="B15" s="148"/>
      <c r="C15" s="149"/>
      <c r="D15" s="149"/>
      <c r="E15" s="150"/>
      <c r="F15" s="151"/>
      <c r="G15" s="161"/>
    </row>
    <row r="16" spans="2:7" s="3" customFormat="1" x14ac:dyDescent="0.25">
      <c r="B16" s="140" t="s">
        <v>10</v>
      </c>
      <c r="C16" s="152">
        <f>SUM(C17:C20)</f>
        <v>230177370.96999997</v>
      </c>
      <c r="D16" s="142">
        <f>SUM(D17:D20)</f>
        <v>82189628.129999995</v>
      </c>
      <c r="E16" s="142">
        <f>SUM(E17:E20)</f>
        <v>147987742.83999997</v>
      </c>
      <c r="F16" s="143">
        <f>+D16/C16</f>
        <v>0.35707084403493394</v>
      </c>
    </row>
    <row r="17" spans="2:7" s="3" customFormat="1" x14ac:dyDescent="0.25">
      <c r="B17" s="144" t="s">
        <v>18</v>
      </c>
      <c r="C17" s="10">
        <v>9345481.6999999993</v>
      </c>
      <c r="D17" s="10">
        <v>5530161.1299999999</v>
      </c>
      <c r="E17" s="9">
        <f>+C17-D17</f>
        <v>3815320.5699999994</v>
      </c>
      <c r="F17" s="153">
        <f>+D17/C17</f>
        <v>0.59174703964162712</v>
      </c>
    </row>
    <row r="18" spans="2:7" x14ac:dyDescent="0.25">
      <c r="B18" s="144" t="s">
        <v>59</v>
      </c>
      <c r="C18" s="9">
        <v>166900820.00999999</v>
      </c>
      <c r="D18" s="9">
        <v>61783603</v>
      </c>
      <c r="E18" s="9">
        <f t="shared" ref="E18:E20" si="2">+C18-D18</f>
        <v>105117217.00999999</v>
      </c>
      <c r="F18" s="153">
        <f t="shared" ref="F18:F20" si="3">+D18/C18</f>
        <v>0.3701815425250648</v>
      </c>
    </row>
    <row r="19" spans="2:7" x14ac:dyDescent="0.25">
      <c r="B19" s="144" t="s">
        <v>19</v>
      </c>
      <c r="C19" s="10">
        <v>3063249.26</v>
      </c>
      <c r="D19" s="10">
        <v>0</v>
      </c>
      <c r="E19" s="9">
        <f t="shared" si="2"/>
        <v>3063249.26</v>
      </c>
      <c r="F19" s="153">
        <f t="shared" si="3"/>
        <v>0</v>
      </c>
    </row>
    <row r="20" spans="2:7" x14ac:dyDescent="0.25">
      <c r="B20" s="144" t="s">
        <v>58</v>
      </c>
      <c r="C20" s="10">
        <f>35991956+14875864</f>
        <v>50867820</v>
      </c>
      <c r="D20" s="10">
        <v>14875864</v>
      </c>
      <c r="E20" s="9">
        <f t="shared" si="2"/>
        <v>35991956</v>
      </c>
      <c r="F20" s="153">
        <f t="shared" si="3"/>
        <v>0.29244154752454499</v>
      </c>
    </row>
    <row r="21" spans="2:7" ht="6.75" customHeight="1" x14ac:dyDescent="0.25">
      <c r="B21" s="148"/>
      <c r="C21" s="149"/>
      <c r="D21" s="149"/>
      <c r="E21" s="150"/>
      <c r="F21" s="151"/>
      <c r="G21" s="1"/>
    </row>
    <row r="22" spans="2:7" x14ac:dyDescent="0.25">
      <c r="B22" s="154" t="s">
        <v>6</v>
      </c>
      <c r="C22" s="155">
        <f>+C8+C16</f>
        <v>1837900885.3299999</v>
      </c>
      <c r="D22" s="156">
        <f>+D8+D16</f>
        <v>1197381135.9200001</v>
      </c>
      <c r="E22" s="156">
        <f>+E8+E16</f>
        <v>640519749.40999985</v>
      </c>
      <c r="F22" s="157">
        <f>+D22/C22</f>
        <v>0.65149385664777415</v>
      </c>
    </row>
    <row r="23" spans="2:7" x14ac:dyDescent="0.25">
      <c r="B23" s="158" t="s">
        <v>565</v>
      </c>
      <c r="C23" s="3"/>
      <c r="D23" s="159"/>
    </row>
    <row r="24" spans="2:7" x14ac:dyDescent="0.25">
      <c r="B24" s="160"/>
      <c r="C24" s="161"/>
      <c r="D24" s="161"/>
    </row>
    <row r="25" spans="2:7" x14ac:dyDescent="0.25">
      <c r="E25" s="198"/>
    </row>
  </sheetData>
  <mergeCells count="2">
    <mergeCell ref="B2:F2"/>
    <mergeCell ref="B3:F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B1:T61"/>
  <sheetViews>
    <sheetView showGridLines="0" zoomScaleNormal="100" workbookViewId="0">
      <pane xSplit="3" ySplit="4" topLeftCell="N5" activePane="bottomRight" state="frozen"/>
      <selection pane="topRight" activeCell="D1" sqref="D1"/>
      <selection pane="bottomLeft" activeCell="A8" sqref="A8"/>
      <selection pane="bottomRight" activeCell="T11" sqref="T11"/>
    </sheetView>
  </sheetViews>
  <sheetFormatPr baseColWidth="10" defaultRowHeight="16.5" x14ac:dyDescent="0.3"/>
  <cols>
    <col min="1" max="1" width="5" style="12" customWidth="1"/>
    <col min="2" max="2" width="17.42578125" style="12" customWidth="1"/>
    <col min="3" max="3" width="47.5703125" style="12" customWidth="1"/>
    <col min="4" max="4" width="17.42578125" style="174" bestFit="1" customWidth="1"/>
    <col min="5" max="7" width="17.42578125" style="174" hidden="1" customWidth="1"/>
    <col min="8" max="8" width="17.42578125" style="21" customWidth="1"/>
    <col min="9" max="9" width="15.5703125" style="174" hidden="1" customWidth="1"/>
    <col min="10" max="10" width="16" style="174" hidden="1" customWidth="1"/>
    <col min="11" max="11" width="15.7109375" style="174" customWidth="1"/>
    <col min="12" max="12" width="15.85546875" style="21" customWidth="1"/>
    <col min="13" max="13" width="15.5703125" style="174" customWidth="1"/>
    <col min="14" max="14" width="16" style="174" customWidth="1"/>
    <col min="15" max="15" width="15.7109375" style="174" customWidth="1"/>
    <col min="16" max="16" width="15.85546875" style="21" customWidth="1"/>
    <col min="17" max="17" width="17.42578125" style="21" customWidth="1"/>
    <col min="18" max="18" width="15.85546875" style="21" customWidth="1"/>
    <col min="19" max="19" width="11.42578125" style="22" customWidth="1"/>
    <col min="20" max="20" width="13.42578125" style="12" bestFit="1" customWidth="1"/>
    <col min="21" max="16384" width="11.42578125" style="12"/>
  </cols>
  <sheetData>
    <row r="1" spans="2:20" x14ac:dyDescent="0.3">
      <c r="B1" s="13"/>
      <c r="C1" s="13"/>
      <c r="D1" s="162"/>
      <c r="E1" s="162"/>
      <c r="F1" s="162"/>
      <c r="G1" s="162"/>
      <c r="H1" s="39"/>
      <c r="I1" s="162"/>
      <c r="J1" s="162"/>
      <c r="K1" s="162"/>
      <c r="L1" s="39"/>
      <c r="M1" s="162"/>
      <c r="N1" s="162"/>
      <c r="O1" s="162"/>
      <c r="P1" s="39"/>
      <c r="Q1" s="39"/>
      <c r="R1" s="39"/>
      <c r="S1" s="13"/>
    </row>
    <row r="2" spans="2:20" ht="39.75" customHeight="1" x14ac:dyDescent="0.3">
      <c r="B2" s="453" t="s">
        <v>71</v>
      </c>
      <c r="C2" s="455" t="s">
        <v>72</v>
      </c>
      <c r="D2" s="457" t="s">
        <v>91</v>
      </c>
      <c r="E2" s="450" t="s">
        <v>105</v>
      </c>
      <c r="F2" s="451"/>
      <c r="G2" s="452"/>
      <c r="H2" s="457" t="s">
        <v>109</v>
      </c>
      <c r="I2" s="450" t="s">
        <v>105</v>
      </c>
      <c r="J2" s="451"/>
      <c r="K2" s="452"/>
      <c r="L2" s="457" t="s">
        <v>150</v>
      </c>
      <c r="M2" s="450" t="s">
        <v>105</v>
      </c>
      <c r="N2" s="451"/>
      <c r="O2" s="452"/>
      <c r="P2" s="457" t="s">
        <v>526</v>
      </c>
      <c r="Q2" s="457" t="s">
        <v>151</v>
      </c>
      <c r="R2" s="460" t="s">
        <v>448</v>
      </c>
      <c r="S2" s="461" t="s">
        <v>83</v>
      </c>
    </row>
    <row r="3" spans="2:20" s="22" customFormat="1" ht="45.75" customHeight="1" x14ac:dyDescent="0.3">
      <c r="B3" s="454"/>
      <c r="C3" s="456"/>
      <c r="D3" s="458"/>
      <c r="E3" s="176" t="s">
        <v>106</v>
      </c>
      <c r="F3" s="176" t="s">
        <v>107</v>
      </c>
      <c r="G3" s="176" t="s">
        <v>108</v>
      </c>
      <c r="H3" s="459"/>
      <c r="I3" s="226" t="s">
        <v>147</v>
      </c>
      <c r="J3" s="226" t="s">
        <v>149</v>
      </c>
      <c r="K3" s="226" t="s">
        <v>148</v>
      </c>
      <c r="L3" s="459"/>
      <c r="M3" s="356" t="s">
        <v>523</v>
      </c>
      <c r="N3" s="356" t="s">
        <v>524</v>
      </c>
      <c r="O3" s="356" t="s">
        <v>525</v>
      </c>
      <c r="P3" s="459"/>
      <c r="Q3" s="459"/>
      <c r="R3" s="460"/>
      <c r="S3" s="462"/>
    </row>
    <row r="4" spans="2:20" s="22" customFormat="1" ht="4.5" customHeight="1" thickBot="1" x14ac:dyDescent="0.35">
      <c r="B4" s="53"/>
      <c r="C4" s="54"/>
      <c r="D4" s="163"/>
      <c r="E4" s="175"/>
      <c r="F4" s="175"/>
      <c r="G4" s="175"/>
      <c r="H4" s="55"/>
      <c r="I4" s="175"/>
      <c r="J4" s="175"/>
      <c r="K4" s="175"/>
      <c r="L4" s="55"/>
      <c r="M4" s="175"/>
      <c r="N4" s="175"/>
      <c r="O4" s="175"/>
      <c r="P4" s="55"/>
      <c r="Q4" s="55"/>
      <c r="R4" s="128"/>
      <c r="S4" s="56"/>
    </row>
    <row r="5" spans="2:20" ht="18.75" customHeight="1" thickBot="1" x14ac:dyDescent="0.35">
      <c r="B5" s="50"/>
      <c r="C5" s="51" t="s">
        <v>28</v>
      </c>
      <c r="D5" s="164">
        <f>+D7+D24</f>
        <v>1607723514.3599999</v>
      </c>
      <c r="E5" s="52">
        <f>+E7+E24</f>
        <v>181175939.97999999</v>
      </c>
      <c r="F5" s="52">
        <f t="shared" ref="F5:G5" si="0">+F7+F24</f>
        <v>269649280.43000007</v>
      </c>
      <c r="G5" s="52">
        <f t="shared" si="0"/>
        <v>106402756.78</v>
      </c>
      <c r="H5" s="52">
        <f>+H7+H24</f>
        <v>557227977.18999994</v>
      </c>
      <c r="I5" s="52">
        <f>+I7+I24</f>
        <v>182366684.47</v>
      </c>
      <c r="J5" s="52">
        <f t="shared" ref="J5" si="1">+J7+J24</f>
        <v>102693900.48</v>
      </c>
      <c r="K5" s="52">
        <f>+K7+K24</f>
        <v>104174126.03</v>
      </c>
      <c r="L5" s="52">
        <f>+L7+L24</f>
        <v>389234710.98000002</v>
      </c>
      <c r="M5" s="52">
        <f>+M7+M24</f>
        <v>102151570.09</v>
      </c>
      <c r="N5" s="52">
        <f t="shared" ref="N5:O5" si="2">+N7+N24</f>
        <v>101608631.78</v>
      </c>
      <c r="O5" s="52">
        <f t="shared" si="2"/>
        <v>114000382.13</v>
      </c>
      <c r="P5" s="52">
        <f>+P7+P24</f>
        <v>317760584.00000006</v>
      </c>
      <c r="Q5" s="52">
        <f>+H5+L5+P5</f>
        <v>1264223272.1700001</v>
      </c>
      <c r="R5" s="52">
        <f>+D5-Q5</f>
        <v>343500242.18999982</v>
      </c>
      <c r="S5" s="88">
        <f>+Q5/D5</f>
        <v>0.78634370952349986</v>
      </c>
    </row>
    <row r="6" spans="2:20" s="22" customFormat="1" ht="4.5" customHeight="1" x14ac:dyDescent="0.3">
      <c r="B6" s="53"/>
      <c r="C6" s="54"/>
      <c r="D6" s="163"/>
      <c r="E6" s="175"/>
      <c r="F6" s="175"/>
      <c r="G6" s="175"/>
      <c r="H6" s="55"/>
      <c r="I6" s="175"/>
      <c r="J6" s="175"/>
      <c r="K6" s="175"/>
      <c r="L6" s="55"/>
      <c r="M6" s="175"/>
      <c r="N6" s="175"/>
      <c r="O6" s="175"/>
      <c r="P6" s="55"/>
      <c r="Q6" s="55"/>
      <c r="R6" s="128"/>
      <c r="S6" s="89"/>
    </row>
    <row r="7" spans="2:20" s="22" customFormat="1" ht="18.75" customHeight="1" x14ac:dyDescent="0.3">
      <c r="B7" s="58" t="s">
        <v>29</v>
      </c>
      <c r="C7" s="59" t="s">
        <v>30</v>
      </c>
      <c r="D7" s="165">
        <f>+D11+D15+D22</f>
        <v>0</v>
      </c>
      <c r="E7" s="60">
        <f>+E11+E15+E22</f>
        <v>902034.38</v>
      </c>
      <c r="F7" s="60">
        <f t="shared" ref="F7:G7" si="3">+F11+F15+F22</f>
        <v>479641.97</v>
      </c>
      <c r="G7" s="60">
        <f t="shared" si="3"/>
        <v>4613144.7</v>
      </c>
      <c r="H7" s="60">
        <f>+H11+H15+H22</f>
        <v>5994821.0499999998</v>
      </c>
      <c r="I7" s="60">
        <f>+I11+I15+I22</f>
        <v>741891.96000000008</v>
      </c>
      <c r="J7" s="60">
        <f t="shared" ref="J7" si="4">+J11+J15+J22</f>
        <v>904288.4</v>
      </c>
      <c r="K7" s="60">
        <f>+K11+K15+K22</f>
        <v>3297902.92</v>
      </c>
      <c r="L7" s="60">
        <f>+L11+L15+L22</f>
        <v>4944083.28</v>
      </c>
      <c r="M7" s="60">
        <f>+M11+M15+M22</f>
        <v>1275346.98</v>
      </c>
      <c r="N7" s="60">
        <f t="shared" ref="N7:O7" si="5">+N11+N15+N22</f>
        <v>732408.67000000027</v>
      </c>
      <c r="O7" s="60">
        <f t="shared" si="5"/>
        <v>13124159.02</v>
      </c>
      <c r="P7" s="60">
        <f>+P11+P15+P22</f>
        <v>15131914.67</v>
      </c>
      <c r="Q7" s="60">
        <f>+H7+L7+P7</f>
        <v>26070819</v>
      </c>
      <c r="R7" s="60">
        <f>+D7-Q7</f>
        <v>-26070819</v>
      </c>
      <c r="S7" s="86">
        <v>1</v>
      </c>
    </row>
    <row r="8" spans="2:20" s="22" customFormat="1" ht="4.5" customHeight="1" x14ac:dyDescent="0.3">
      <c r="B8" s="53"/>
      <c r="C8" s="54"/>
      <c r="D8" s="163"/>
      <c r="E8" s="163"/>
      <c r="F8" s="163"/>
      <c r="G8" s="163"/>
      <c r="H8" s="57"/>
      <c r="I8" s="163"/>
      <c r="J8" s="163"/>
      <c r="K8" s="163"/>
      <c r="L8" s="57"/>
      <c r="M8" s="163"/>
      <c r="N8" s="163"/>
      <c r="O8" s="163"/>
      <c r="P8" s="57"/>
      <c r="Q8" s="57"/>
      <c r="R8" s="57"/>
      <c r="S8" s="89"/>
    </row>
    <row r="9" spans="2:20" s="41" customFormat="1" ht="14.25" customHeight="1" x14ac:dyDescent="0.25">
      <c r="B9" s="91" t="s">
        <v>74</v>
      </c>
      <c r="C9" s="177" t="s">
        <v>75</v>
      </c>
      <c r="D9" s="178"/>
      <c r="E9" s="178"/>
      <c r="F9" s="178"/>
      <c r="G9" s="178"/>
      <c r="H9" s="179"/>
      <c r="I9" s="178"/>
      <c r="J9" s="178"/>
      <c r="K9" s="178"/>
      <c r="L9" s="179"/>
      <c r="M9" s="178"/>
      <c r="N9" s="178"/>
      <c r="O9" s="178"/>
      <c r="P9" s="179"/>
      <c r="Q9" s="179"/>
      <c r="R9" s="179"/>
      <c r="S9" s="180"/>
    </row>
    <row r="10" spans="2:20" s="22" customFormat="1" ht="4.5" customHeight="1" x14ac:dyDescent="0.3">
      <c r="B10" s="53"/>
      <c r="C10" s="54"/>
      <c r="D10" s="181"/>
      <c r="E10" s="163"/>
      <c r="F10" s="163"/>
      <c r="G10" s="163"/>
      <c r="H10" s="57"/>
      <c r="I10" s="163"/>
      <c r="J10" s="163"/>
      <c r="K10" s="163"/>
      <c r="L10" s="57"/>
      <c r="M10" s="163"/>
      <c r="N10" s="163"/>
      <c r="O10" s="163"/>
      <c r="P10" s="57"/>
      <c r="Q10" s="57"/>
      <c r="R10" s="57"/>
      <c r="S10" s="89"/>
    </row>
    <row r="11" spans="2:20" s="41" customFormat="1" ht="33" x14ac:dyDescent="0.25">
      <c r="B11" s="42" t="s">
        <v>73</v>
      </c>
      <c r="C11" s="43" t="s">
        <v>76</v>
      </c>
      <c r="D11" s="182">
        <v>0</v>
      </c>
      <c r="E11" s="166">
        <v>0.31</v>
      </c>
      <c r="F11" s="166">
        <v>0.31</v>
      </c>
      <c r="G11" s="166">
        <v>0.42</v>
      </c>
      <c r="H11" s="46">
        <f>SUM(E11:G11)</f>
        <v>1.04</v>
      </c>
      <c r="I11" s="166">
        <v>0.3</v>
      </c>
      <c r="J11" s="166">
        <v>0.31</v>
      </c>
      <c r="K11" s="166">
        <v>0</v>
      </c>
      <c r="L11" s="46">
        <f>SUM(I11:K11)</f>
        <v>0.61</v>
      </c>
      <c r="M11" s="166">
        <v>0.65</v>
      </c>
      <c r="N11" s="166">
        <v>0.35</v>
      </c>
      <c r="O11" s="166">
        <v>0.69</v>
      </c>
      <c r="P11" s="46">
        <f>SUM(M11:O11)</f>
        <v>1.69</v>
      </c>
      <c r="Q11" s="129">
        <f>+H11+L11+P11</f>
        <v>3.34</v>
      </c>
      <c r="R11" s="129">
        <f>+D11-Q11</f>
        <v>-3.34</v>
      </c>
      <c r="S11" s="90">
        <v>1</v>
      </c>
      <c r="T11" s="421"/>
    </row>
    <row r="12" spans="2:20" s="22" customFormat="1" ht="4.5" customHeight="1" x14ac:dyDescent="0.3">
      <c r="B12" s="53"/>
      <c r="C12" s="54"/>
      <c r="D12" s="181"/>
      <c r="E12" s="163"/>
      <c r="F12" s="163"/>
      <c r="G12" s="163"/>
      <c r="H12" s="57"/>
      <c r="I12" s="163"/>
      <c r="J12" s="163"/>
      <c r="K12" s="163"/>
      <c r="L12" s="57"/>
      <c r="M12" s="163"/>
      <c r="N12" s="163"/>
      <c r="O12" s="163"/>
      <c r="P12" s="57"/>
      <c r="Q12" s="128"/>
      <c r="R12" s="128"/>
      <c r="S12" s="89"/>
    </row>
    <row r="13" spans="2:20" s="41" customFormat="1" ht="14.25" customHeight="1" x14ac:dyDescent="0.25">
      <c r="B13" s="91" t="s">
        <v>31</v>
      </c>
      <c r="C13" s="177" t="s">
        <v>32</v>
      </c>
      <c r="D13" s="178"/>
      <c r="E13" s="178"/>
      <c r="F13" s="178"/>
      <c r="G13" s="178"/>
      <c r="H13" s="179"/>
      <c r="I13" s="178"/>
      <c r="J13" s="178"/>
      <c r="K13" s="178"/>
      <c r="L13" s="179"/>
      <c r="M13" s="178"/>
      <c r="N13" s="178"/>
      <c r="O13" s="178"/>
      <c r="P13" s="179"/>
      <c r="Q13" s="179"/>
      <c r="R13" s="179"/>
      <c r="S13" s="180"/>
    </row>
    <row r="14" spans="2:20" s="22" customFormat="1" ht="4.5" customHeight="1" x14ac:dyDescent="0.3">
      <c r="B14" s="53"/>
      <c r="C14" s="54"/>
      <c r="D14" s="181"/>
      <c r="E14" s="163"/>
      <c r="F14" s="163"/>
      <c r="G14" s="163"/>
      <c r="H14" s="57"/>
      <c r="I14" s="163"/>
      <c r="J14" s="163"/>
      <c r="K14" s="163"/>
      <c r="L14" s="57"/>
      <c r="M14" s="163"/>
      <c r="N14" s="163"/>
      <c r="O14" s="163"/>
      <c r="P14" s="57"/>
      <c r="Q14" s="128"/>
      <c r="R14" s="128"/>
      <c r="S14" s="89"/>
    </row>
    <row r="15" spans="2:20" s="230" customFormat="1" ht="18.75" customHeight="1" x14ac:dyDescent="0.3">
      <c r="B15" s="40" t="s">
        <v>65</v>
      </c>
      <c r="C15" s="34" t="s">
        <v>66</v>
      </c>
      <c r="D15" s="183">
        <f>SUM(D16:D20)</f>
        <v>0</v>
      </c>
      <c r="E15" s="44">
        <f>SUM(E16:E19)</f>
        <v>902034.07</v>
      </c>
      <c r="F15" s="44">
        <f>SUM(F16:F20)</f>
        <v>479641.66</v>
      </c>
      <c r="G15" s="44">
        <f>SUM(G16:G20)</f>
        <v>4613144.28</v>
      </c>
      <c r="H15" s="44">
        <f>SUM(H16:H19)</f>
        <v>5994820.0099999998</v>
      </c>
      <c r="I15" s="44">
        <f>SUM(I16:I19)</f>
        <v>741891.66</v>
      </c>
      <c r="J15" s="44">
        <f>SUM(J16:J20)</f>
        <v>904288.09</v>
      </c>
      <c r="K15" s="44">
        <f>SUM(K16:K20)</f>
        <v>3297902.92</v>
      </c>
      <c r="L15" s="44">
        <f>SUM(L16:L20)</f>
        <v>4944082.67</v>
      </c>
      <c r="M15" s="44">
        <f>SUM(M16:M19)</f>
        <v>1275346.33</v>
      </c>
      <c r="N15" s="44">
        <f>SUM(N16:N20)</f>
        <v>732408.3200000003</v>
      </c>
      <c r="O15" s="44">
        <f>SUM(O16:O20)</f>
        <v>13124158.33</v>
      </c>
      <c r="P15" s="44">
        <f>SUM(P16:P20)</f>
        <v>15131912.98</v>
      </c>
      <c r="Q15" s="87">
        <f>+H15+L15+P15</f>
        <v>26070815.66</v>
      </c>
      <c r="R15" s="87">
        <f>+D15-Q15</f>
        <v>-26070815.66</v>
      </c>
      <c r="S15" s="85">
        <v>1</v>
      </c>
    </row>
    <row r="16" spans="2:20" s="230" customFormat="1" ht="18.75" customHeight="1" x14ac:dyDescent="0.3">
      <c r="B16" s="37"/>
      <c r="C16" s="23" t="s">
        <v>8</v>
      </c>
      <c r="D16" s="184"/>
      <c r="E16" s="168">
        <f>902034.07-E19</f>
        <v>848034.07</v>
      </c>
      <c r="F16" s="168">
        <f>479641.66</f>
        <v>479641.66</v>
      </c>
      <c r="G16" s="168">
        <v>4343559.95</v>
      </c>
      <c r="H16" s="47">
        <f>SUM(E16:G16)</f>
        <v>5671235.6799999997</v>
      </c>
      <c r="I16" s="168">
        <v>741891.66</v>
      </c>
      <c r="J16" s="168">
        <f>904288.09-J17</f>
        <v>754288.09</v>
      </c>
      <c r="K16" s="168"/>
      <c r="L16" s="47">
        <f>SUM(I16:K16)</f>
        <v>1496179.75</v>
      </c>
      <c r="M16" s="168">
        <v>1275346.33</v>
      </c>
      <c r="N16" s="168">
        <f>3602052.91-K20</f>
        <v>732408.3200000003</v>
      </c>
      <c r="O16" s="168">
        <f>13124158.33-O17</f>
        <v>4863147.9800000004</v>
      </c>
      <c r="P16" s="47">
        <f>SUM(M16:O16)</f>
        <v>6870902.6300000008</v>
      </c>
      <c r="Q16" s="130">
        <f>+H16+L16+P16</f>
        <v>14038318.060000001</v>
      </c>
      <c r="R16" s="130">
        <f>+D16-Q16</f>
        <v>-14038318.060000001</v>
      </c>
      <c r="S16" s="84">
        <v>1</v>
      </c>
      <c r="T16" s="231"/>
    </row>
    <row r="17" spans="2:20" s="230" customFormat="1" ht="18.75" customHeight="1" x14ac:dyDescent="0.3">
      <c r="B17" s="37"/>
      <c r="C17" s="23" t="s">
        <v>12</v>
      </c>
      <c r="D17" s="184"/>
      <c r="E17" s="168"/>
      <c r="F17" s="168"/>
      <c r="G17" s="168">
        <f>127584.33+142000</f>
        <v>269584.33</v>
      </c>
      <c r="H17" s="47">
        <f t="shared" ref="H17:H20" si="6">SUM(E17:G17)</f>
        <v>269584.33</v>
      </c>
      <c r="I17" s="168"/>
      <c r="J17" s="168">
        <v>150000</v>
      </c>
      <c r="K17" s="168">
        <v>428258.33</v>
      </c>
      <c r="L17" s="47">
        <f t="shared" ref="L17:L20" si="7">SUM(I17:K17)</f>
        <v>578258.33000000007</v>
      </c>
      <c r="M17" s="168"/>
      <c r="N17" s="168">
        <v>0</v>
      </c>
      <c r="O17" s="168">
        <v>8261010.3499999996</v>
      </c>
      <c r="P17" s="47">
        <f>SUM(M17:O17)</f>
        <v>8261010.3499999996</v>
      </c>
      <c r="Q17" s="130">
        <f>+H17+L17+P17</f>
        <v>9108853.0099999998</v>
      </c>
      <c r="R17" s="130">
        <f t="shared" ref="R17:R19" si="8">+D17-Q17</f>
        <v>-9108853.0099999998</v>
      </c>
      <c r="S17" s="84">
        <v>1</v>
      </c>
    </row>
    <row r="18" spans="2:20" s="230" customFormat="1" ht="18.75" hidden="1" customHeight="1" x14ac:dyDescent="0.3">
      <c r="B18" s="37"/>
      <c r="C18" s="23" t="s">
        <v>99</v>
      </c>
      <c r="D18" s="184"/>
      <c r="E18" s="168"/>
      <c r="F18" s="168"/>
      <c r="G18" s="168"/>
      <c r="H18" s="47">
        <f t="shared" si="6"/>
        <v>0</v>
      </c>
      <c r="I18" s="168"/>
      <c r="J18" s="168"/>
      <c r="K18" s="168"/>
      <c r="L18" s="47">
        <f t="shared" si="7"/>
        <v>0</v>
      </c>
      <c r="M18" s="168"/>
      <c r="N18" s="168"/>
      <c r="O18" s="168"/>
      <c r="P18" s="47">
        <f t="shared" ref="P18" si="9">SUM(M18:O18)</f>
        <v>0</v>
      </c>
      <c r="Q18" s="130">
        <f t="shared" ref="Q18" si="10">+H18+L18+P18</f>
        <v>0</v>
      </c>
      <c r="R18" s="130">
        <f t="shared" si="8"/>
        <v>0</v>
      </c>
      <c r="S18" s="84"/>
    </row>
    <row r="19" spans="2:20" s="230" customFormat="1" ht="18.75" customHeight="1" x14ac:dyDescent="0.3">
      <c r="B19" s="37"/>
      <c r="C19" s="23" t="s">
        <v>81</v>
      </c>
      <c r="D19" s="184"/>
      <c r="E19" s="168">
        <v>54000</v>
      </c>
      <c r="F19" s="47"/>
      <c r="G19" s="168">
        <v>0</v>
      </c>
      <c r="H19" s="47">
        <f t="shared" si="6"/>
        <v>54000</v>
      </c>
      <c r="I19" s="168"/>
      <c r="J19" s="47"/>
      <c r="K19" s="168">
        <v>0</v>
      </c>
      <c r="L19" s="47">
        <f t="shared" si="7"/>
        <v>0</v>
      </c>
      <c r="M19" s="168"/>
      <c r="N19" s="47"/>
      <c r="O19" s="168">
        <v>0</v>
      </c>
      <c r="P19" s="47">
        <f>SUM(M19:O19)</f>
        <v>0</v>
      </c>
      <c r="Q19" s="130">
        <f>+H19+L19+P19</f>
        <v>54000</v>
      </c>
      <c r="R19" s="130">
        <f t="shared" si="8"/>
        <v>-54000</v>
      </c>
      <c r="S19" s="84">
        <v>1</v>
      </c>
    </row>
    <row r="20" spans="2:20" s="22" customFormat="1" ht="18.75" customHeight="1" x14ac:dyDescent="0.3">
      <c r="B20" s="37"/>
      <c r="C20" s="23" t="s">
        <v>549</v>
      </c>
      <c r="D20" s="184"/>
      <c r="E20" s="168"/>
      <c r="F20" s="168"/>
      <c r="G20" s="168"/>
      <c r="H20" s="47">
        <f t="shared" si="6"/>
        <v>0</v>
      </c>
      <c r="I20" s="168"/>
      <c r="J20" s="168"/>
      <c r="K20" s="413">
        <v>2869644.59</v>
      </c>
      <c r="L20" s="47">
        <f t="shared" si="7"/>
        <v>2869644.59</v>
      </c>
      <c r="M20" s="168"/>
      <c r="N20" s="168"/>
      <c r="O20" s="168"/>
      <c r="P20" s="47">
        <f>SUM(M20:O20)</f>
        <v>0</v>
      </c>
      <c r="Q20" s="130">
        <f>+H20+L20+P20</f>
        <v>2869644.59</v>
      </c>
      <c r="R20" s="130">
        <f t="shared" ref="R20" si="11">+D20-H20</f>
        <v>0</v>
      </c>
      <c r="S20" s="84">
        <v>1</v>
      </c>
    </row>
    <row r="21" spans="2:20" s="22" customFormat="1" ht="12.75" hidden="1" customHeight="1" x14ac:dyDescent="0.3">
      <c r="B21" s="53"/>
      <c r="C21" s="54"/>
      <c r="D21" s="181"/>
      <c r="E21" s="163"/>
      <c r="F21" s="163"/>
      <c r="G21" s="163"/>
      <c r="H21" s="57"/>
      <c r="I21" s="163"/>
      <c r="J21" s="163"/>
      <c r="K21" s="163"/>
      <c r="L21" s="57"/>
      <c r="M21" s="163"/>
      <c r="N21" s="163"/>
      <c r="O21" s="163"/>
      <c r="P21" s="57"/>
      <c r="Q21" s="128"/>
      <c r="R21" s="130"/>
      <c r="S21" s="89"/>
    </row>
    <row r="22" spans="2:20" hidden="1" x14ac:dyDescent="0.3">
      <c r="B22" s="40" t="s">
        <v>67</v>
      </c>
      <c r="C22" s="34" t="s">
        <v>68</v>
      </c>
      <c r="D22" s="183">
        <v>0</v>
      </c>
      <c r="E22" s="167"/>
      <c r="F22" s="167"/>
      <c r="G22" s="167"/>
      <c r="H22" s="44"/>
      <c r="I22" s="167"/>
      <c r="J22" s="167"/>
      <c r="K22" s="167"/>
      <c r="L22" s="44"/>
      <c r="M22" s="167"/>
      <c r="N22" s="167"/>
      <c r="O22" s="167"/>
      <c r="P22" s="44"/>
      <c r="Q22" s="44"/>
      <c r="R22" s="44"/>
      <c r="S22" s="84">
        <v>1</v>
      </c>
    </row>
    <row r="23" spans="2:20" s="22" customFormat="1" ht="4.5" customHeight="1" x14ac:dyDescent="0.3">
      <c r="B23" s="53"/>
      <c r="C23" s="54"/>
      <c r="D23" s="163"/>
      <c r="E23" s="163"/>
      <c r="F23" s="163"/>
      <c r="G23" s="163"/>
      <c r="H23" s="57"/>
      <c r="I23" s="163"/>
      <c r="J23" s="163"/>
      <c r="K23" s="163"/>
      <c r="L23" s="57"/>
      <c r="M23" s="163"/>
      <c r="N23" s="163"/>
      <c r="O23" s="163"/>
      <c r="P23" s="57"/>
      <c r="Q23" s="57"/>
      <c r="R23" s="57"/>
      <c r="S23" s="56"/>
    </row>
    <row r="24" spans="2:20" ht="15.75" customHeight="1" x14ac:dyDescent="0.3">
      <c r="B24" s="58" t="s">
        <v>33</v>
      </c>
      <c r="C24" s="59" t="s">
        <v>5</v>
      </c>
      <c r="D24" s="165">
        <f t="shared" ref="D24:G24" si="12">+D28+D34</f>
        <v>1607723514.3599999</v>
      </c>
      <c r="E24" s="60">
        <f t="shared" si="12"/>
        <v>180273905.59999999</v>
      </c>
      <c r="F24" s="60">
        <f t="shared" si="12"/>
        <v>269169638.46000004</v>
      </c>
      <c r="G24" s="60">
        <f t="shared" si="12"/>
        <v>101789612.08</v>
      </c>
      <c r="H24" s="60">
        <f>+H28+H34</f>
        <v>551233156.13999999</v>
      </c>
      <c r="I24" s="60">
        <f>+I28+I34</f>
        <v>181624792.50999999</v>
      </c>
      <c r="J24" s="60">
        <f t="shared" ref="J24:L24" si="13">+J28+J34</f>
        <v>101789612.08</v>
      </c>
      <c r="K24" s="60">
        <f t="shared" si="13"/>
        <v>100876223.11</v>
      </c>
      <c r="L24" s="60">
        <f t="shared" si="13"/>
        <v>384290627.70000005</v>
      </c>
      <c r="M24" s="60">
        <f>+M28+M34</f>
        <v>100876223.11</v>
      </c>
      <c r="N24" s="60">
        <f t="shared" ref="N24:O24" si="14">+N28+N34</f>
        <v>100876223.11</v>
      </c>
      <c r="O24" s="60">
        <f t="shared" si="14"/>
        <v>100876223.11</v>
      </c>
      <c r="P24" s="60">
        <f>+P28+P34</f>
        <v>302628669.33000004</v>
      </c>
      <c r="Q24" s="60">
        <f>+H24+L24+P24</f>
        <v>1238152453.1700001</v>
      </c>
      <c r="R24" s="60">
        <f>+R28+R34</f>
        <v>369571061.18999982</v>
      </c>
      <c r="S24" s="86">
        <f>+Q24/D24</f>
        <v>0.770127725389948</v>
      </c>
    </row>
    <row r="25" spans="2:20" s="22" customFormat="1" ht="4.5" customHeight="1" x14ac:dyDescent="0.3">
      <c r="B25" s="53" t="s">
        <v>34</v>
      </c>
      <c r="C25" s="54" t="s">
        <v>34</v>
      </c>
      <c r="D25" s="163"/>
      <c r="E25" s="163"/>
      <c r="F25" s="163"/>
      <c r="G25" s="163"/>
      <c r="H25" s="57"/>
      <c r="I25" s="163"/>
      <c r="J25" s="163"/>
      <c r="K25" s="163"/>
      <c r="L25" s="57"/>
      <c r="M25" s="163"/>
      <c r="N25" s="163"/>
      <c r="O25" s="163"/>
      <c r="P25" s="57"/>
      <c r="Q25" s="57"/>
      <c r="R25" s="57"/>
      <c r="S25" s="56"/>
    </row>
    <row r="26" spans="2:20" s="41" customFormat="1" ht="14.25" customHeight="1" x14ac:dyDescent="0.25">
      <c r="B26" s="91" t="s">
        <v>35</v>
      </c>
      <c r="C26" s="177" t="s">
        <v>36</v>
      </c>
      <c r="D26" s="178"/>
      <c r="E26" s="178"/>
      <c r="F26" s="178"/>
      <c r="G26" s="178"/>
      <c r="H26" s="179"/>
      <c r="I26" s="178"/>
      <c r="J26" s="178"/>
      <c r="K26" s="178"/>
      <c r="L26" s="179"/>
      <c r="M26" s="178"/>
      <c r="N26" s="178"/>
      <c r="O26" s="178"/>
      <c r="P26" s="179"/>
      <c r="Q26" s="179"/>
      <c r="R26" s="179"/>
      <c r="S26" s="180"/>
    </row>
    <row r="27" spans="2:20" s="22" customFormat="1" ht="4.5" customHeight="1" x14ac:dyDescent="0.3">
      <c r="B27" s="53"/>
      <c r="C27" s="54"/>
      <c r="D27" s="163"/>
      <c r="E27" s="163"/>
      <c r="F27" s="163"/>
      <c r="G27" s="163"/>
      <c r="H27" s="57"/>
      <c r="I27" s="163"/>
      <c r="J27" s="163"/>
      <c r="K27" s="163"/>
      <c r="L27" s="57"/>
      <c r="M27" s="163"/>
      <c r="N27" s="163"/>
      <c r="O27" s="163"/>
      <c r="P27" s="57"/>
      <c r="Q27" s="57"/>
      <c r="R27" s="57"/>
      <c r="S27" s="56"/>
    </row>
    <row r="28" spans="2:20" ht="15" customHeight="1" x14ac:dyDescent="0.3">
      <c r="B28" s="33" t="s">
        <v>37</v>
      </c>
      <c r="C28" s="34" t="s">
        <v>38</v>
      </c>
      <c r="D28" s="169">
        <f>SUM(D29:D32)</f>
        <v>1604027213.01</v>
      </c>
      <c r="E28" s="44">
        <f>SUM(E29:E32)</f>
        <v>180273905.59999999</v>
      </c>
      <c r="F28" s="44">
        <f t="shared" ref="F28:G28" si="15">SUM(F29:F32)</f>
        <v>269169638.46000004</v>
      </c>
      <c r="G28" s="44">
        <f t="shared" si="15"/>
        <v>101789612.08</v>
      </c>
      <c r="H28" s="44">
        <f>SUM(H29:H32)</f>
        <v>551233156.13999999</v>
      </c>
      <c r="I28" s="44">
        <f>SUM(I29:I32)</f>
        <v>178528491.16</v>
      </c>
      <c r="J28" s="44">
        <f t="shared" ref="J28:K28" si="16">SUM(J29:J32)</f>
        <v>101789612.08</v>
      </c>
      <c r="K28" s="44">
        <f t="shared" si="16"/>
        <v>100876223.11</v>
      </c>
      <c r="L28" s="44">
        <f>SUM(L29:L32)</f>
        <v>381194326.35000002</v>
      </c>
      <c r="M28" s="44">
        <f>SUM(M29:M32)</f>
        <v>100876223.11</v>
      </c>
      <c r="N28" s="44">
        <f t="shared" ref="N28:O28" si="17">SUM(N29:N32)</f>
        <v>100876223.11</v>
      </c>
      <c r="O28" s="44">
        <f t="shared" si="17"/>
        <v>100876223.11</v>
      </c>
      <c r="P28" s="44">
        <f>SUM(P29:P32)</f>
        <v>302628669.33000004</v>
      </c>
      <c r="Q28" s="44">
        <f>+H28+L28+P28</f>
        <v>1235056151.8200002</v>
      </c>
      <c r="R28" s="44">
        <f>+D28-Q28</f>
        <v>368971061.18999982</v>
      </c>
      <c r="S28" s="85">
        <f>+Q28/D28</f>
        <v>0.76997206892917003</v>
      </c>
    </row>
    <row r="29" spans="2:20" ht="15.75" customHeight="1" x14ac:dyDescent="0.3">
      <c r="B29" s="33"/>
      <c r="C29" s="23" t="s">
        <v>39</v>
      </c>
      <c r="D29" s="170">
        <f>1249880479.8-6393722.8</f>
        <v>1243486757</v>
      </c>
      <c r="E29" s="170">
        <v>136248147.59999999</v>
      </c>
      <c r="F29" s="170">
        <v>111008200.36</v>
      </c>
      <c r="G29" s="170">
        <v>93628173.980000004</v>
      </c>
      <c r="H29" s="45">
        <f>SUM(E29:G29)</f>
        <v>340884521.94</v>
      </c>
      <c r="I29" s="170">
        <v>93628173.980000004</v>
      </c>
      <c r="J29" s="170">
        <v>93628173.980000004</v>
      </c>
      <c r="K29" s="170">
        <v>92714785.010000005</v>
      </c>
      <c r="L29" s="45">
        <f>SUM(I29:K29)</f>
        <v>279971132.97000003</v>
      </c>
      <c r="M29" s="170">
        <v>92714785.010000005</v>
      </c>
      <c r="N29" s="170">
        <v>92714785.010000005</v>
      </c>
      <c r="O29" s="170">
        <v>92714785.010000005</v>
      </c>
      <c r="P29" s="45">
        <f>SUM(M29:O29)</f>
        <v>278144355.03000003</v>
      </c>
      <c r="Q29" s="45">
        <f>+H29+L29+P29</f>
        <v>899000009.94000006</v>
      </c>
      <c r="R29" s="47">
        <f t="shared" ref="R29:R33" si="18">+D29-Q29</f>
        <v>344486747.05999994</v>
      </c>
      <c r="S29" s="84">
        <f>+Q29/D29</f>
        <v>0.72296709625513134</v>
      </c>
      <c r="T29" s="23"/>
    </row>
    <row r="30" spans="2:20" ht="15.75" customHeight="1" x14ac:dyDescent="0.3">
      <c r="B30" s="33"/>
      <c r="C30" s="23" t="s">
        <v>40</v>
      </c>
      <c r="D30" s="170">
        <f>430371839.01-167768640.01</f>
        <v>262603199</v>
      </c>
      <c r="E30" s="170">
        <v>35864319.920000002</v>
      </c>
      <c r="F30" s="170">
        <v>150000000</v>
      </c>
      <c r="G30" s="170">
        <v>0</v>
      </c>
      <c r="H30" s="45">
        <f t="shared" ref="H30:H31" si="19">SUM(E30:G30)</f>
        <v>185864319.92000002</v>
      </c>
      <c r="I30" s="170">
        <v>76738879.079999998</v>
      </c>
      <c r="J30" s="170">
        <v>0</v>
      </c>
      <c r="K30" s="170">
        <v>0</v>
      </c>
      <c r="L30" s="45">
        <f t="shared" ref="L30:L31" si="20">SUM(I30:K30)</f>
        <v>76738879.079999998</v>
      </c>
      <c r="M30" s="170">
        <v>0</v>
      </c>
      <c r="N30" s="170">
        <v>0</v>
      </c>
      <c r="O30" s="170">
        <v>0</v>
      </c>
      <c r="P30" s="45">
        <f t="shared" ref="P30:P31" si="21">SUM(M30:O30)</f>
        <v>0</v>
      </c>
      <c r="Q30" s="45">
        <f>+H30+L30+P30</f>
        <v>262603199</v>
      </c>
      <c r="R30" s="47">
        <f t="shared" si="18"/>
        <v>0</v>
      </c>
      <c r="S30" s="84">
        <f t="shared" ref="S30:S31" si="22">+Q30/D30</f>
        <v>1</v>
      </c>
    </row>
    <row r="31" spans="2:20" s="22" customFormat="1" ht="15.75" customHeight="1" x14ac:dyDescent="0.3">
      <c r="B31" s="33"/>
      <c r="C31" s="23" t="s">
        <v>25</v>
      </c>
      <c r="D31" s="170">
        <v>97937257.010000005</v>
      </c>
      <c r="E31" s="170">
        <v>8161438.0800000001</v>
      </c>
      <c r="F31" s="170">
        <v>8161438.0999999996</v>
      </c>
      <c r="G31" s="170">
        <v>8161438.0999999996</v>
      </c>
      <c r="H31" s="45">
        <f t="shared" si="19"/>
        <v>24484314.280000001</v>
      </c>
      <c r="I31" s="170">
        <v>8161438.0999999996</v>
      </c>
      <c r="J31" s="170">
        <v>8161438.0999999996</v>
      </c>
      <c r="K31" s="170">
        <v>8161438.0999999996</v>
      </c>
      <c r="L31" s="45">
        <f t="shared" si="20"/>
        <v>24484314.299999997</v>
      </c>
      <c r="M31" s="170">
        <v>8161438.0999999996</v>
      </c>
      <c r="N31" s="170">
        <v>8161438.0999999996</v>
      </c>
      <c r="O31" s="170">
        <v>8161438.0999999996</v>
      </c>
      <c r="P31" s="45">
        <f t="shared" si="21"/>
        <v>24484314.299999997</v>
      </c>
      <c r="Q31" s="45">
        <f>+H31+L31+P31</f>
        <v>73452942.879999995</v>
      </c>
      <c r="R31" s="47">
        <f t="shared" si="18"/>
        <v>24484314.13000001</v>
      </c>
      <c r="S31" s="84">
        <f t="shared" si="22"/>
        <v>0.75000000125080069</v>
      </c>
    </row>
    <row r="32" spans="2:20" ht="15.75" customHeight="1" x14ac:dyDescent="0.3">
      <c r="B32" s="33"/>
      <c r="C32" s="23" t="s">
        <v>41</v>
      </c>
      <c r="D32" s="170">
        <f>50000000-50000000</f>
        <v>0</v>
      </c>
      <c r="E32" s="170">
        <v>0</v>
      </c>
      <c r="F32" s="170">
        <v>0</v>
      </c>
      <c r="G32" s="170">
        <v>0</v>
      </c>
      <c r="H32" s="47">
        <v>0</v>
      </c>
      <c r="I32" s="170">
        <v>0</v>
      </c>
      <c r="J32" s="170">
        <v>0</v>
      </c>
      <c r="K32" s="170">
        <v>0</v>
      </c>
      <c r="L32" s="47">
        <v>0</v>
      </c>
      <c r="M32" s="170">
        <v>0</v>
      </c>
      <c r="N32" s="170">
        <v>0</v>
      </c>
      <c r="O32" s="170">
        <v>0</v>
      </c>
      <c r="P32" s="47">
        <v>0</v>
      </c>
      <c r="Q32" s="45">
        <f>+H32+L32+P32</f>
        <v>0</v>
      </c>
      <c r="R32" s="47">
        <f t="shared" si="18"/>
        <v>0</v>
      </c>
      <c r="S32" s="84">
        <v>0</v>
      </c>
    </row>
    <row r="33" spans="2:19" s="22" customFormat="1" ht="4.5" customHeight="1" x14ac:dyDescent="0.3">
      <c r="B33" s="53"/>
      <c r="C33" s="54"/>
      <c r="D33" s="171"/>
      <c r="E33" s="171"/>
      <c r="F33" s="171"/>
      <c r="G33" s="171"/>
      <c r="H33" s="57"/>
      <c r="I33" s="171"/>
      <c r="J33" s="171"/>
      <c r="K33" s="171"/>
      <c r="L33" s="57"/>
      <c r="M33" s="171"/>
      <c r="N33" s="171"/>
      <c r="O33" s="171"/>
      <c r="P33" s="57"/>
      <c r="Q33" s="57"/>
      <c r="R33" s="44">
        <f t="shared" si="18"/>
        <v>0</v>
      </c>
      <c r="S33" s="84"/>
    </row>
    <row r="34" spans="2:19" ht="33" x14ac:dyDescent="0.3">
      <c r="B34" s="48" t="s">
        <v>42</v>
      </c>
      <c r="C34" s="43" t="s">
        <v>43</v>
      </c>
      <c r="D34" s="172">
        <v>3696301.35</v>
      </c>
      <c r="E34" s="172">
        <v>0</v>
      </c>
      <c r="F34" s="172">
        <v>0</v>
      </c>
      <c r="G34" s="172">
        <v>0</v>
      </c>
      <c r="H34" s="49">
        <f>SUM(E34:G34)</f>
        <v>0</v>
      </c>
      <c r="I34" s="172">
        <v>3096301.35</v>
      </c>
      <c r="J34" s="172">
        <v>0</v>
      </c>
      <c r="K34" s="172"/>
      <c r="L34" s="49">
        <f>SUM(I34:K34)</f>
        <v>3096301.35</v>
      </c>
      <c r="M34" s="172"/>
      <c r="N34" s="172"/>
      <c r="O34" s="172"/>
      <c r="P34" s="49">
        <f>SUM(M34:O34)</f>
        <v>0</v>
      </c>
      <c r="Q34" s="49">
        <f>+H34+L34+P34</f>
        <v>3096301.35</v>
      </c>
      <c r="R34" s="46">
        <f>+D34-Q34</f>
        <v>600000</v>
      </c>
      <c r="S34" s="229">
        <f t="shared" ref="S34" si="23">+Q34/D34</f>
        <v>0.83767557263695502</v>
      </c>
    </row>
    <row r="35" spans="2:19" s="22" customFormat="1" ht="4.5" customHeight="1" thickBot="1" x14ac:dyDescent="0.35">
      <c r="B35" s="53"/>
      <c r="C35" s="54"/>
      <c r="D35" s="163"/>
      <c r="E35" s="163"/>
      <c r="F35" s="163"/>
      <c r="G35" s="163"/>
      <c r="H35" s="57"/>
      <c r="I35" s="163"/>
      <c r="J35" s="163"/>
      <c r="K35" s="163"/>
      <c r="L35" s="57"/>
      <c r="M35" s="163"/>
      <c r="N35" s="163"/>
      <c r="O35" s="163"/>
      <c r="P35" s="57"/>
      <c r="Q35" s="57"/>
      <c r="R35" s="47"/>
      <c r="S35" s="56"/>
    </row>
    <row r="36" spans="2:19" ht="18" customHeight="1" thickBot="1" x14ac:dyDescent="0.35">
      <c r="B36" s="50" t="s">
        <v>44</v>
      </c>
      <c r="C36" s="51" t="s">
        <v>45</v>
      </c>
      <c r="D36" s="164">
        <f t="shared" ref="D36" si="24">+D38</f>
        <v>230177370.96999997</v>
      </c>
      <c r="E36" s="164"/>
      <c r="F36" s="164"/>
      <c r="G36" s="164">
        <f>+G38</f>
        <v>836769919.83000004</v>
      </c>
      <c r="H36" s="110">
        <f>+H38</f>
        <v>836769919.83000004</v>
      </c>
      <c r="I36" s="164"/>
      <c r="J36" s="164"/>
      <c r="K36" s="164">
        <f>+K38</f>
        <v>0</v>
      </c>
      <c r="L36" s="110">
        <f>+L38</f>
        <v>0</v>
      </c>
      <c r="M36" s="164"/>
      <c r="N36" s="164"/>
      <c r="O36" s="164">
        <f>+O38</f>
        <v>0</v>
      </c>
      <c r="P36" s="110">
        <f>+P38</f>
        <v>0</v>
      </c>
      <c r="Q36" s="110">
        <f>+H36+L36+P36</f>
        <v>836769919.83000004</v>
      </c>
      <c r="R36" s="52">
        <f>+R38</f>
        <v>-606592548.86000001</v>
      </c>
      <c r="S36" s="88">
        <v>1</v>
      </c>
    </row>
    <row r="37" spans="2:19" s="22" customFormat="1" ht="4.5" customHeight="1" x14ac:dyDescent="0.3">
      <c r="B37" s="53"/>
      <c r="C37" s="54"/>
      <c r="D37" s="163"/>
      <c r="E37" s="163"/>
      <c r="F37" s="163"/>
      <c r="G37" s="163"/>
      <c r="H37" s="111"/>
      <c r="I37" s="163"/>
      <c r="J37" s="163"/>
      <c r="K37" s="163"/>
      <c r="L37" s="111"/>
      <c r="M37" s="163"/>
      <c r="N37" s="163"/>
      <c r="O37" s="163"/>
      <c r="P37" s="111"/>
      <c r="Q37" s="111"/>
      <c r="R37" s="57"/>
      <c r="S37" s="56"/>
    </row>
    <row r="38" spans="2:19" ht="14.25" customHeight="1" x14ac:dyDescent="0.3">
      <c r="B38" s="58" t="s">
        <v>46</v>
      </c>
      <c r="C38" s="59" t="s">
        <v>47</v>
      </c>
      <c r="D38" s="165">
        <f>+D40+D42</f>
        <v>230177370.96999997</v>
      </c>
      <c r="E38" s="165">
        <f t="shared" ref="E38:F38" si="25">+E40+E42</f>
        <v>0</v>
      </c>
      <c r="F38" s="165">
        <f t="shared" si="25"/>
        <v>0</v>
      </c>
      <c r="G38" s="165">
        <f>+G40+G42</f>
        <v>836769919.83000004</v>
      </c>
      <c r="H38" s="112">
        <f>+H40+H42</f>
        <v>836769919.83000004</v>
      </c>
      <c r="I38" s="165">
        <f t="shared" ref="I38:J38" si="26">+I40+I42</f>
        <v>0</v>
      </c>
      <c r="J38" s="165">
        <f t="shared" si="26"/>
        <v>0</v>
      </c>
      <c r="K38" s="165">
        <f>+K40+K42</f>
        <v>0</v>
      </c>
      <c r="L38" s="112">
        <f>+L40+L42</f>
        <v>0</v>
      </c>
      <c r="M38" s="165">
        <f t="shared" ref="M38:N38" si="27">+M40+M42</f>
        <v>0</v>
      </c>
      <c r="N38" s="165">
        <f t="shared" si="27"/>
        <v>0</v>
      </c>
      <c r="O38" s="165">
        <f>+O40+O42</f>
        <v>0</v>
      </c>
      <c r="P38" s="112">
        <f>+P40+P42</f>
        <v>0</v>
      </c>
      <c r="Q38" s="112">
        <f>+H38+L38</f>
        <v>836769919.83000004</v>
      </c>
      <c r="R38" s="60">
        <f>+R40+R42</f>
        <v>-606592548.86000001</v>
      </c>
      <c r="S38" s="86">
        <v>1</v>
      </c>
    </row>
    <row r="39" spans="2:19" s="22" customFormat="1" ht="4.5" customHeight="1" x14ac:dyDescent="0.3">
      <c r="B39" s="53"/>
      <c r="C39" s="54"/>
      <c r="D39" s="163"/>
      <c r="E39" s="163"/>
      <c r="F39" s="163"/>
      <c r="G39" s="163"/>
      <c r="H39" s="111"/>
      <c r="I39" s="163"/>
      <c r="J39" s="163"/>
      <c r="K39" s="163"/>
      <c r="L39" s="111"/>
      <c r="M39" s="163"/>
      <c r="N39" s="163"/>
      <c r="O39" s="163"/>
      <c r="P39" s="111"/>
      <c r="Q39" s="111"/>
      <c r="R39" s="57"/>
      <c r="S39" s="56"/>
    </row>
    <row r="40" spans="2:19" x14ac:dyDescent="0.3">
      <c r="B40" s="33" t="s">
        <v>48</v>
      </c>
      <c r="C40" s="34" t="s">
        <v>69</v>
      </c>
      <c r="D40" s="169">
        <v>9345481.6999999993</v>
      </c>
      <c r="E40" s="126">
        <v>0</v>
      </c>
      <c r="F40" s="126">
        <v>0</v>
      </c>
      <c r="G40" s="126">
        <v>9345481.6999999993</v>
      </c>
      <c r="H40" s="126">
        <f>SUM(E40:G40)</f>
        <v>9345481.6999999993</v>
      </c>
      <c r="I40" s="126">
        <v>0</v>
      </c>
      <c r="J40" s="126">
        <v>0</v>
      </c>
      <c r="K40" s="126"/>
      <c r="L40" s="126">
        <f>SUM(I40:K40)</f>
        <v>0</v>
      </c>
      <c r="M40" s="126">
        <v>0</v>
      </c>
      <c r="N40" s="126">
        <v>0</v>
      </c>
      <c r="O40" s="126"/>
      <c r="P40" s="126">
        <f>SUM(M40:O40)</f>
        <v>0</v>
      </c>
      <c r="Q40" s="126">
        <f>+H40+L40</f>
        <v>9345481.6999999993</v>
      </c>
      <c r="R40" s="44">
        <f>+D40-H40</f>
        <v>0</v>
      </c>
      <c r="S40" s="85">
        <f>+Q40/D40</f>
        <v>1</v>
      </c>
    </row>
    <row r="41" spans="2:19" s="22" customFormat="1" ht="4.5" customHeight="1" x14ac:dyDescent="0.3">
      <c r="B41" s="53"/>
      <c r="C41" s="54"/>
      <c r="D41" s="163"/>
      <c r="E41" s="163"/>
      <c r="F41" s="163"/>
      <c r="G41" s="163"/>
      <c r="H41" s="111"/>
      <c r="I41" s="163"/>
      <c r="J41" s="163"/>
      <c r="K41" s="163"/>
      <c r="L41" s="111"/>
      <c r="M41" s="163"/>
      <c r="N41" s="163"/>
      <c r="O41" s="163"/>
      <c r="P41" s="111"/>
      <c r="Q41" s="111"/>
      <c r="R41" s="57"/>
      <c r="S41" s="56"/>
    </row>
    <row r="42" spans="2:19" x14ac:dyDescent="0.3">
      <c r="B42" s="33" t="s">
        <v>49</v>
      </c>
      <c r="C42" s="34" t="s">
        <v>70</v>
      </c>
      <c r="D42" s="167">
        <f>SUM(D43:D45)</f>
        <v>220831889.26999998</v>
      </c>
      <c r="E42" s="113">
        <f>SUM(E43:E45)</f>
        <v>0</v>
      </c>
      <c r="F42" s="113">
        <f t="shared" ref="F42:G42" si="28">SUM(F43:F45)</f>
        <v>0</v>
      </c>
      <c r="G42" s="113">
        <f t="shared" si="28"/>
        <v>827424438.13</v>
      </c>
      <c r="H42" s="113">
        <f>SUM(H43:H45)</f>
        <v>827424438.13</v>
      </c>
      <c r="I42" s="113">
        <f>SUM(I43:I45)</f>
        <v>0</v>
      </c>
      <c r="J42" s="113">
        <f t="shared" ref="J42:K42" si="29">SUM(J43:J45)</f>
        <v>0</v>
      </c>
      <c r="K42" s="113">
        <f t="shared" si="29"/>
        <v>0</v>
      </c>
      <c r="L42" s="113">
        <f>SUM(L43:L45)</f>
        <v>0</v>
      </c>
      <c r="M42" s="113">
        <f>SUM(M43:M45)</f>
        <v>0</v>
      </c>
      <c r="N42" s="113">
        <f t="shared" ref="N42:O42" si="30">SUM(N43:N45)</f>
        <v>0</v>
      </c>
      <c r="O42" s="113">
        <f t="shared" si="30"/>
        <v>0</v>
      </c>
      <c r="P42" s="113">
        <f>SUM(P43:P45)</f>
        <v>0</v>
      </c>
      <c r="Q42" s="113">
        <f>+H42+L42</f>
        <v>827424438.13</v>
      </c>
      <c r="R42" s="44">
        <f>SUM(R43:R45)</f>
        <v>-606592548.86000001</v>
      </c>
      <c r="S42" s="85">
        <v>1</v>
      </c>
    </row>
    <row r="43" spans="2:19" x14ac:dyDescent="0.3">
      <c r="B43" s="36"/>
      <c r="C43" s="23" t="s">
        <v>9</v>
      </c>
      <c r="D43" s="168">
        <v>166900820.00999999</v>
      </c>
      <c r="E43" s="168">
        <v>0</v>
      </c>
      <c r="F43" s="168">
        <v>0</v>
      </c>
      <c r="G43" s="168">
        <v>686800483.87</v>
      </c>
      <c r="H43" s="114">
        <f>SUM(E43:G43)</f>
        <v>686800483.87</v>
      </c>
      <c r="I43" s="168">
        <v>0</v>
      </c>
      <c r="J43" s="168">
        <v>0</v>
      </c>
      <c r="K43" s="168"/>
      <c r="L43" s="114">
        <f>SUM(I43:K43)</f>
        <v>0</v>
      </c>
      <c r="M43" s="168">
        <v>0</v>
      </c>
      <c r="N43" s="168">
        <v>0</v>
      </c>
      <c r="O43" s="168"/>
      <c r="P43" s="114">
        <f>SUM(M43:O43)</f>
        <v>0</v>
      </c>
      <c r="Q43" s="114">
        <f t="shared" ref="Q43:Q45" si="31">+H43+L43</f>
        <v>686800483.87</v>
      </c>
      <c r="R43" s="47">
        <f>+D43-H43</f>
        <v>-519899663.86000001</v>
      </c>
      <c r="S43" s="84">
        <v>1</v>
      </c>
    </row>
    <row r="44" spans="2:19" x14ac:dyDescent="0.3">
      <c r="B44" s="36"/>
      <c r="C44" s="23" t="s">
        <v>21</v>
      </c>
      <c r="D44" s="168">
        <v>50867820</v>
      </c>
      <c r="E44" s="168">
        <v>0</v>
      </c>
      <c r="F44" s="168">
        <v>0</v>
      </c>
      <c r="G44" s="168">
        <v>136960705</v>
      </c>
      <c r="H44" s="114">
        <f t="shared" ref="H44:H45" si="32">SUM(E44:G44)</f>
        <v>136960705</v>
      </c>
      <c r="I44" s="168">
        <v>0</v>
      </c>
      <c r="J44" s="168">
        <v>0</v>
      </c>
      <c r="K44" s="168"/>
      <c r="L44" s="114">
        <f t="shared" ref="L44:L45" si="33">SUM(I44:K44)</f>
        <v>0</v>
      </c>
      <c r="M44" s="168">
        <v>0</v>
      </c>
      <c r="N44" s="168">
        <v>0</v>
      </c>
      <c r="O44" s="168"/>
      <c r="P44" s="114">
        <f t="shared" ref="P44:P45" si="34">SUM(M44:O44)</f>
        <v>0</v>
      </c>
      <c r="Q44" s="114">
        <f t="shared" si="31"/>
        <v>136960705</v>
      </c>
      <c r="R44" s="47">
        <f t="shared" ref="R44:R45" si="35">+D44-H44</f>
        <v>-86092885</v>
      </c>
      <c r="S44" s="84">
        <v>1</v>
      </c>
    </row>
    <row r="45" spans="2:19" s="22" customFormat="1" x14ac:dyDescent="0.3">
      <c r="B45" s="36"/>
      <c r="C45" s="23" t="s">
        <v>50</v>
      </c>
      <c r="D45" s="168">
        <v>3063249.26</v>
      </c>
      <c r="E45" s="168">
        <v>0</v>
      </c>
      <c r="F45" s="168">
        <v>0</v>
      </c>
      <c r="G45" s="168">
        <v>3663249.26</v>
      </c>
      <c r="H45" s="114">
        <f t="shared" si="32"/>
        <v>3663249.26</v>
      </c>
      <c r="I45" s="168">
        <v>0</v>
      </c>
      <c r="J45" s="168">
        <v>0</v>
      </c>
      <c r="K45" s="168"/>
      <c r="L45" s="114">
        <f t="shared" si="33"/>
        <v>0</v>
      </c>
      <c r="M45" s="168">
        <v>0</v>
      </c>
      <c r="N45" s="168">
        <v>0</v>
      </c>
      <c r="O45" s="168"/>
      <c r="P45" s="114">
        <f t="shared" si="34"/>
        <v>0</v>
      </c>
      <c r="Q45" s="114">
        <f t="shared" si="31"/>
        <v>3663249.26</v>
      </c>
      <c r="R45" s="47">
        <f t="shared" si="35"/>
        <v>-600000</v>
      </c>
      <c r="S45" s="84">
        <v>1</v>
      </c>
    </row>
    <row r="46" spans="2:19" ht="9" customHeight="1" thickBot="1" x14ac:dyDescent="0.35">
      <c r="B46" s="33"/>
      <c r="C46" s="34"/>
      <c r="D46" s="167"/>
      <c r="E46" s="167"/>
      <c r="F46" s="167"/>
      <c r="G46" s="167"/>
      <c r="H46" s="44"/>
      <c r="I46" s="167"/>
      <c r="J46" s="167"/>
      <c r="K46" s="167"/>
      <c r="L46" s="44"/>
      <c r="M46" s="167"/>
      <c r="N46" s="167"/>
      <c r="O46" s="167"/>
      <c r="P46" s="44"/>
      <c r="Q46" s="44"/>
      <c r="R46" s="44"/>
      <c r="S46" s="35"/>
    </row>
    <row r="47" spans="2:19" ht="15.75" customHeight="1" thickBot="1" x14ac:dyDescent="0.35">
      <c r="B47" s="38" t="s">
        <v>51</v>
      </c>
      <c r="C47" s="18"/>
      <c r="D47" s="173">
        <f>+D36+D5</f>
        <v>1837900885.3299999</v>
      </c>
      <c r="E47" s="173">
        <f t="shared" ref="E47:G47" si="36">+E36+E5</f>
        <v>181175939.97999999</v>
      </c>
      <c r="F47" s="173">
        <f t="shared" si="36"/>
        <v>269649280.43000007</v>
      </c>
      <c r="G47" s="173">
        <f t="shared" si="36"/>
        <v>943172676.61000001</v>
      </c>
      <c r="H47" s="127">
        <f>+H36+H5</f>
        <v>1393997897.02</v>
      </c>
      <c r="I47" s="173">
        <f t="shared" ref="I47:K47" si="37">+I36+I5</f>
        <v>182366684.47</v>
      </c>
      <c r="J47" s="173">
        <f t="shared" si="37"/>
        <v>102693900.48</v>
      </c>
      <c r="K47" s="173">
        <f t="shared" si="37"/>
        <v>104174126.03</v>
      </c>
      <c r="L47" s="127">
        <f>+L36+L5</f>
        <v>389234710.98000002</v>
      </c>
      <c r="M47" s="173">
        <f t="shared" ref="M47:O47" si="38">+M36+M5</f>
        <v>102151570.09</v>
      </c>
      <c r="N47" s="173">
        <f t="shared" si="38"/>
        <v>101608631.78</v>
      </c>
      <c r="O47" s="173">
        <f t="shared" si="38"/>
        <v>114000382.13</v>
      </c>
      <c r="P47" s="127">
        <f>+P36+P5</f>
        <v>317760584.00000006</v>
      </c>
      <c r="Q47" s="127">
        <f>+H47+L47+P47</f>
        <v>2100993192</v>
      </c>
      <c r="R47" s="131">
        <f>+R5+R36</f>
        <v>-263092306.6700002</v>
      </c>
      <c r="S47" s="115">
        <f>+Q47/D47</f>
        <v>1.1431482561274033</v>
      </c>
    </row>
    <row r="48" spans="2:19" ht="21" customHeight="1" x14ac:dyDescent="0.3">
      <c r="B48" s="449" t="s">
        <v>152</v>
      </c>
      <c r="C48" s="449"/>
      <c r="D48" s="449"/>
      <c r="E48" s="449"/>
      <c r="F48" s="449"/>
      <c r="G48" s="449"/>
      <c r="H48" s="449"/>
      <c r="I48" s="449"/>
      <c r="J48" s="449"/>
      <c r="K48" s="449"/>
      <c r="L48" s="449"/>
      <c r="M48" s="449"/>
      <c r="N48" s="449"/>
      <c r="O48" s="449"/>
      <c r="P48" s="449"/>
      <c r="Q48" s="449"/>
      <c r="R48" s="449"/>
      <c r="S48" s="449"/>
    </row>
    <row r="49" spans="2:19" x14ac:dyDescent="0.3">
      <c r="B49" s="13"/>
      <c r="C49" s="13"/>
      <c r="D49" s="162"/>
      <c r="E49" s="162"/>
      <c r="F49" s="162"/>
      <c r="G49" s="162"/>
      <c r="H49" s="39"/>
      <c r="I49" s="162"/>
      <c r="J49" s="162"/>
      <c r="K49" s="162"/>
      <c r="L49" s="39"/>
      <c r="M49" s="162"/>
      <c r="N49" s="162"/>
      <c r="O49" s="162"/>
      <c r="P49" s="39"/>
      <c r="Q49" s="39"/>
      <c r="R49" s="39"/>
      <c r="S49" s="14"/>
    </row>
    <row r="50" spans="2:19" x14ac:dyDescent="0.3">
      <c r="B50" s="13"/>
      <c r="C50" s="13"/>
      <c r="D50" s="162"/>
      <c r="E50" s="162"/>
      <c r="F50" s="162"/>
      <c r="G50" s="162"/>
      <c r="H50" s="39"/>
      <c r="I50" s="162"/>
      <c r="J50" s="162"/>
      <c r="K50" s="162"/>
      <c r="L50" s="39"/>
      <c r="M50" s="162"/>
      <c r="N50" s="162"/>
      <c r="O50" s="162"/>
      <c r="P50" s="39"/>
      <c r="Q50" s="39"/>
      <c r="R50" s="39"/>
      <c r="S50" s="14"/>
    </row>
    <row r="51" spans="2:19" x14ac:dyDescent="0.3">
      <c r="B51" s="13"/>
      <c r="C51" s="13"/>
      <c r="D51" s="162"/>
      <c r="E51" s="162"/>
      <c r="F51" s="162"/>
      <c r="G51" s="162"/>
      <c r="H51" s="39"/>
      <c r="I51" s="162"/>
      <c r="J51" s="162"/>
      <c r="K51" s="162"/>
      <c r="L51" s="39"/>
      <c r="M51" s="162"/>
      <c r="N51" s="162"/>
      <c r="O51" s="162"/>
      <c r="P51" s="39"/>
      <c r="Q51" s="39"/>
      <c r="R51" s="39"/>
      <c r="S51" s="14"/>
    </row>
    <row r="52" spans="2:19" x14ac:dyDescent="0.3">
      <c r="B52" s="13"/>
      <c r="C52" s="13"/>
      <c r="D52" s="162"/>
      <c r="E52" s="162"/>
      <c r="F52" s="162"/>
      <c r="G52" s="162"/>
      <c r="H52" s="39"/>
      <c r="I52" s="162"/>
      <c r="J52" s="162"/>
      <c r="K52" s="162"/>
      <c r="L52" s="39"/>
      <c r="M52" s="162"/>
      <c r="N52" s="162"/>
      <c r="O52" s="162"/>
      <c r="P52" s="39"/>
      <c r="Q52" s="39"/>
      <c r="R52" s="39"/>
      <c r="S52" s="14"/>
    </row>
    <row r="53" spans="2:19" x14ac:dyDescent="0.3">
      <c r="B53" s="13"/>
      <c r="C53" s="13"/>
      <c r="D53" s="162"/>
      <c r="E53" s="162"/>
      <c r="F53" s="162"/>
      <c r="G53" s="162"/>
      <c r="H53" s="39"/>
      <c r="I53" s="162"/>
      <c r="J53" s="162"/>
      <c r="K53" s="162"/>
      <c r="L53" s="39"/>
      <c r="M53" s="162"/>
      <c r="N53" s="162"/>
      <c r="O53" s="162"/>
      <c r="P53" s="39"/>
      <c r="Q53" s="39"/>
      <c r="R53" s="39"/>
      <c r="S53" s="13"/>
    </row>
    <row r="54" spans="2:19" x14ac:dyDescent="0.3">
      <c r="B54" s="13"/>
      <c r="C54" s="13"/>
      <c r="D54" s="162"/>
      <c r="E54" s="162"/>
      <c r="F54" s="162"/>
      <c r="G54" s="162"/>
      <c r="H54" s="39"/>
      <c r="I54" s="162"/>
      <c r="J54" s="162"/>
      <c r="K54" s="162"/>
      <c r="L54" s="39"/>
      <c r="M54" s="162"/>
      <c r="N54" s="162"/>
      <c r="O54" s="162"/>
      <c r="P54" s="39"/>
      <c r="Q54" s="39"/>
      <c r="R54" s="39"/>
      <c r="S54" s="13"/>
    </row>
    <row r="55" spans="2:19" x14ac:dyDescent="0.3">
      <c r="B55" s="13"/>
      <c r="C55" s="13"/>
      <c r="D55" s="162"/>
      <c r="E55" s="162"/>
      <c r="F55" s="162"/>
      <c r="G55" s="162"/>
      <c r="H55" s="39"/>
      <c r="I55" s="162"/>
      <c r="J55" s="162"/>
      <c r="K55" s="162"/>
      <c r="L55" s="39"/>
      <c r="M55" s="162"/>
      <c r="N55" s="162"/>
      <c r="O55" s="162"/>
      <c r="P55" s="39"/>
      <c r="Q55" s="39"/>
      <c r="R55" s="39"/>
      <c r="S55" s="13"/>
    </row>
    <row r="56" spans="2:19" x14ac:dyDescent="0.3">
      <c r="B56" s="13"/>
      <c r="C56" s="13"/>
      <c r="D56" s="162"/>
      <c r="E56" s="162"/>
      <c r="F56" s="162"/>
      <c r="G56" s="162"/>
      <c r="H56" s="39"/>
      <c r="I56" s="162"/>
      <c r="J56" s="162"/>
      <c r="K56" s="162"/>
      <c r="L56" s="39"/>
      <c r="M56" s="162"/>
      <c r="N56" s="162"/>
      <c r="O56" s="162"/>
      <c r="P56" s="39"/>
      <c r="Q56" s="39"/>
      <c r="R56" s="39"/>
      <c r="S56" s="13"/>
    </row>
    <row r="57" spans="2:19" x14ac:dyDescent="0.3">
      <c r="B57" s="13"/>
      <c r="C57" s="13"/>
      <c r="D57" s="162"/>
      <c r="E57" s="162"/>
      <c r="F57" s="162"/>
      <c r="G57" s="162"/>
      <c r="H57" s="39"/>
      <c r="I57" s="162"/>
      <c r="J57" s="162"/>
      <c r="K57" s="162"/>
      <c r="L57" s="39"/>
      <c r="M57" s="162"/>
      <c r="N57" s="162"/>
      <c r="O57" s="162"/>
      <c r="P57" s="39"/>
      <c r="Q57" s="39"/>
      <c r="R57" s="39"/>
      <c r="S57" s="13"/>
    </row>
    <row r="58" spans="2:19" x14ac:dyDescent="0.3">
      <c r="B58" s="13"/>
      <c r="C58" s="13"/>
      <c r="D58" s="162"/>
      <c r="E58" s="162"/>
      <c r="F58" s="162"/>
      <c r="G58" s="162"/>
      <c r="H58" s="39"/>
      <c r="I58" s="162"/>
      <c r="J58" s="162"/>
      <c r="K58" s="162"/>
      <c r="L58" s="39"/>
      <c r="M58" s="162"/>
      <c r="N58" s="162"/>
      <c r="O58" s="162"/>
      <c r="P58" s="39"/>
      <c r="Q58" s="39"/>
      <c r="R58" s="39"/>
      <c r="S58" s="13"/>
    </row>
    <row r="59" spans="2:19" x14ac:dyDescent="0.3">
      <c r="B59" s="13"/>
      <c r="C59" s="13"/>
      <c r="D59" s="162"/>
      <c r="E59" s="162"/>
      <c r="F59" s="162"/>
      <c r="G59" s="162"/>
      <c r="H59" s="39"/>
      <c r="I59" s="162"/>
      <c r="J59" s="162"/>
      <c r="K59" s="162"/>
      <c r="L59" s="39"/>
      <c r="M59" s="162"/>
      <c r="N59" s="162"/>
      <c r="O59" s="162"/>
      <c r="P59" s="39"/>
      <c r="Q59" s="39"/>
      <c r="R59" s="39"/>
      <c r="S59" s="13"/>
    </row>
    <row r="60" spans="2:19" x14ac:dyDescent="0.3">
      <c r="B60" s="13"/>
      <c r="C60" s="13"/>
      <c r="D60" s="162"/>
      <c r="E60" s="162"/>
      <c r="F60" s="162"/>
      <c r="G60" s="162"/>
      <c r="H60" s="39"/>
      <c r="I60" s="162"/>
      <c r="J60" s="162"/>
      <c r="K60" s="162"/>
      <c r="L60" s="39"/>
      <c r="M60" s="162"/>
      <c r="N60" s="162"/>
      <c r="O60" s="162"/>
      <c r="P60" s="39"/>
      <c r="Q60" s="39"/>
      <c r="R60" s="39"/>
      <c r="S60" s="13"/>
    </row>
    <row r="61" spans="2:19" x14ac:dyDescent="0.3">
      <c r="B61" s="13"/>
      <c r="C61" s="13"/>
      <c r="D61" s="162"/>
      <c r="E61" s="162"/>
      <c r="F61" s="162"/>
      <c r="G61" s="162"/>
      <c r="H61" s="39"/>
      <c r="I61" s="162"/>
      <c r="J61" s="162"/>
      <c r="K61" s="162"/>
      <c r="L61" s="39"/>
      <c r="M61" s="162"/>
      <c r="N61" s="162"/>
      <c r="O61" s="162"/>
      <c r="P61" s="39"/>
      <c r="Q61" s="39"/>
      <c r="R61" s="39"/>
      <c r="S61" s="13"/>
    </row>
  </sheetData>
  <mergeCells count="13">
    <mergeCell ref="B48:S48"/>
    <mergeCell ref="E2:G2"/>
    <mergeCell ref="B2:B3"/>
    <mergeCell ref="C2:C3"/>
    <mergeCell ref="D2:D3"/>
    <mergeCell ref="H2:H3"/>
    <mergeCell ref="R2:R3"/>
    <mergeCell ref="S2:S3"/>
    <mergeCell ref="I2:K2"/>
    <mergeCell ref="L2:L3"/>
    <mergeCell ref="Q2:Q3"/>
    <mergeCell ref="M2:O2"/>
    <mergeCell ref="P2:P3"/>
  </mergeCells>
  <printOptions horizontalCentered="1" gridLinesSet="0"/>
  <pageMargins left="0" right="0" top="1.1023622047244095" bottom="0.19685039370078741" header="0.59055118110236215" footer="0"/>
  <pageSetup paperSize="9" scale="85" orientation="portrait" r:id="rId1"/>
  <headerFooter alignWithMargins="0"/>
  <ignoredErrors>
    <ignoredError sqref="H11 H29:H34 H40:H45" formulaRange="1"/>
    <ignoredError sqref="H15 Q42:Q45 Q37:Q38" 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showGridLines="0" workbookViewId="0">
      <selection activeCell="M27" sqref="M27"/>
    </sheetView>
  </sheetViews>
  <sheetFormatPr baseColWidth="10" defaultRowHeight="15" x14ac:dyDescent="0.2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66B87-9B4C-4EF4-8CD3-5DA2D99F2B85}">
  <dimension ref="B1:J25"/>
  <sheetViews>
    <sheetView showGridLines="0" zoomScale="90" zoomScaleNormal="90" workbookViewId="0">
      <selection activeCell="D35" sqref="D35"/>
    </sheetView>
  </sheetViews>
  <sheetFormatPr baseColWidth="10" defaultRowHeight="15" x14ac:dyDescent="0.25"/>
  <cols>
    <col min="1" max="1" width="11.42578125" style="16"/>
    <col min="2" max="2" width="29.85546875" style="16" customWidth="1"/>
    <col min="3" max="3" width="20.28515625" style="16" customWidth="1"/>
    <col min="4" max="4" width="19.7109375" style="1" customWidth="1"/>
    <col min="5" max="6" width="18.85546875" style="1" customWidth="1"/>
    <col min="7" max="7" width="20.42578125" style="1" customWidth="1"/>
    <col min="8" max="8" width="13.5703125" style="3" bestFit="1" customWidth="1"/>
    <col min="9" max="9" width="17.42578125" style="16" bestFit="1" customWidth="1"/>
    <col min="10" max="10" width="18.140625" style="1" customWidth="1"/>
    <col min="11" max="16384" width="11.42578125" style="16"/>
  </cols>
  <sheetData>
    <row r="1" spans="2:9" x14ac:dyDescent="0.25">
      <c r="B1" s="463"/>
      <c r="C1" s="463"/>
      <c r="D1" s="463"/>
      <c r="E1" s="225"/>
      <c r="F1" s="359"/>
      <c r="G1" s="225"/>
      <c r="H1" s="5"/>
      <c r="I1" s="1"/>
    </row>
    <row r="2" spans="2:9" x14ac:dyDescent="0.25">
      <c r="B2" s="463"/>
      <c r="C2" s="463"/>
      <c r="D2" s="463"/>
      <c r="E2" s="225"/>
      <c r="F2" s="359"/>
      <c r="G2" s="225"/>
      <c r="H2" s="5"/>
      <c r="I2" s="1"/>
    </row>
    <row r="3" spans="2:9" x14ac:dyDescent="0.25">
      <c r="B3" s="464"/>
      <c r="C3" s="464"/>
      <c r="D3" s="464"/>
      <c r="E3" s="224"/>
      <c r="F3" s="358"/>
      <c r="G3" s="224"/>
      <c r="H3" s="5"/>
      <c r="I3" s="1"/>
    </row>
    <row r="4" spans="2:9" ht="45" customHeight="1" x14ac:dyDescent="0.25">
      <c r="B4" s="68" t="s">
        <v>82</v>
      </c>
      <c r="C4" s="69" t="s">
        <v>112</v>
      </c>
      <c r="D4" s="71" t="s">
        <v>110</v>
      </c>
      <c r="E4" s="71" t="s">
        <v>153</v>
      </c>
      <c r="F4" s="71" t="s">
        <v>550</v>
      </c>
      <c r="G4" s="71" t="s">
        <v>154</v>
      </c>
      <c r="H4" s="70" t="s">
        <v>83</v>
      </c>
    </row>
    <row r="5" spans="2:9" ht="21" hidden="1" customHeight="1" x14ac:dyDescent="0.25">
      <c r="B5" s="65" t="s">
        <v>26</v>
      </c>
      <c r="C5" s="62">
        <f t="shared" ref="C5:D5" si="0">+C6+C8+C10</f>
        <v>1837900885.3299999</v>
      </c>
      <c r="D5" s="62" t="e">
        <f t="shared" si="0"/>
        <v>#REF!</v>
      </c>
      <c r="E5" s="62" t="e">
        <f>SUM(#REF!)</f>
        <v>#REF!</v>
      </c>
      <c r="F5" s="62"/>
      <c r="G5" s="62" t="e">
        <f>+D5+E5</f>
        <v>#REF!</v>
      </c>
      <c r="H5" s="72" t="e">
        <f>+D5/C5</f>
        <v>#REF!</v>
      </c>
    </row>
    <row r="6" spans="2:9" hidden="1" x14ac:dyDescent="0.25">
      <c r="B6" s="8" t="s">
        <v>7</v>
      </c>
      <c r="C6" s="10">
        <f>+'Tabla 3 Ingresos por partida'!D7</f>
        <v>0</v>
      </c>
      <c r="D6" s="10" t="e">
        <f>SUM(#REF!)</f>
        <v>#REF!</v>
      </c>
      <c r="E6" s="10" t="e">
        <f>SUM(#REF!)</f>
        <v>#REF!</v>
      </c>
      <c r="F6" s="10"/>
      <c r="G6" s="10" t="e">
        <f>+D6+E6</f>
        <v>#REF!</v>
      </c>
      <c r="H6" s="73">
        <v>1</v>
      </c>
    </row>
    <row r="7" spans="2:9" ht="6.75" hidden="1" customHeight="1" x14ac:dyDescent="0.25">
      <c r="B7" s="8"/>
      <c r="C7" s="10"/>
      <c r="D7" s="9"/>
      <c r="E7" s="9"/>
      <c r="F7" s="9"/>
      <c r="G7" s="9"/>
      <c r="H7" s="74"/>
    </row>
    <row r="8" spans="2:9" hidden="1" x14ac:dyDescent="0.25">
      <c r="B8" s="8" t="s">
        <v>2</v>
      </c>
      <c r="C8" s="10">
        <f>+'Tabla 3 Ingresos por partida'!D24</f>
        <v>1607723514.3599999</v>
      </c>
      <c r="D8" s="9" t="e">
        <f>SUM(#REF!)</f>
        <v>#REF!</v>
      </c>
      <c r="E8" s="9" t="e">
        <f>SUM(#REF!)</f>
        <v>#REF!</v>
      </c>
      <c r="F8" s="9"/>
      <c r="G8" s="9" t="e">
        <f>+D8+E8</f>
        <v>#REF!</v>
      </c>
      <c r="H8" s="73" t="e">
        <f>+D8/C8</f>
        <v>#REF!</v>
      </c>
      <c r="I8" s="2"/>
    </row>
    <row r="9" spans="2:9" ht="6.75" hidden="1" customHeight="1" x14ac:dyDescent="0.25">
      <c r="B9" s="8"/>
      <c r="C9" s="10"/>
      <c r="D9" s="9"/>
      <c r="E9" s="9"/>
      <c r="F9" s="9"/>
      <c r="G9" s="9"/>
      <c r="H9" s="74"/>
    </row>
    <row r="10" spans="2:9" hidden="1" x14ac:dyDescent="0.25">
      <c r="B10" s="8" t="s">
        <v>10</v>
      </c>
      <c r="C10" s="10">
        <f>+'Tabla 3 Ingresos por partida'!D38</f>
        <v>230177370.96999997</v>
      </c>
      <c r="D10" s="9" t="e">
        <f>SUM(#REF!)</f>
        <v>#REF!</v>
      </c>
      <c r="E10" s="9" t="e">
        <f>SUM(#REF!)</f>
        <v>#REF!</v>
      </c>
      <c r="F10" s="9"/>
      <c r="G10" s="9" t="e">
        <f>+D10+E10</f>
        <v>#REF!</v>
      </c>
      <c r="H10" s="73">
        <v>1</v>
      </c>
    </row>
    <row r="11" spans="2:9" ht="6.75" hidden="1" customHeight="1" x14ac:dyDescent="0.25">
      <c r="B11" s="6"/>
      <c r="C11" s="61"/>
      <c r="D11" s="7"/>
      <c r="E11" s="7"/>
      <c r="F11" s="7"/>
      <c r="G11" s="7"/>
      <c r="H11" s="74"/>
    </row>
    <row r="12" spans="2:9" ht="13.5" hidden="1" customHeight="1" x14ac:dyDescent="0.25">
      <c r="B12" s="66"/>
      <c r="C12" s="63"/>
      <c r="D12" s="64"/>
      <c r="E12" s="64"/>
      <c r="F12" s="64"/>
      <c r="G12" s="64"/>
      <c r="H12" s="75"/>
    </row>
    <row r="13" spans="2:9" ht="21" customHeight="1" x14ac:dyDescent="0.25">
      <c r="B13" s="65" t="s">
        <v>27</v>
      </c>
      <c r="C13" s="67">
        <f>SUM(C14:C19)</f>
        <v>1837900885.3300002</v>
      </c>
      <c r="D13" s="67">
        <f t="shared" ref="D13:E13" si="1">SUM(D14:D19)</f>
        <v>598664516.23000002</v>
      </c>
      <c r="E13" s="67">
        <f t="shared" si="1"/>
        <v>309626219.14999998</v>
      </c>
      <c r="F13" s="67">
        <f>SUM(F14:F18)</f>
        <v>289090400.54000002</v>
      </c>
      <c r="G13" s="67">
        <f t="shared" ref="G13:G18" si="2">+D13+E13+F13</f>
        <v>1197381135.9200001</v>
      </c>
      <c r="H13" s="72">
        <f t="shared" ref="H13:H19" si="3">+G13/C13</f>
        <v>0.65149385664777404</v>
      </c>
    </row>
    <row r="14" spans="2:9" x14ac:dyDescent="0.25">
      <c r="B14" s="8" t="s">
        <v>3</v>
      </c>
      <c r="C14" s="10">
        <f>+'Tabla 1 Ingresos y egresos '!F14</f>
        <v>1068563361.9000001</v>
      </c>
      <c r="D14" s="10">
        <f>+'Tabla 1 Ingresos y egresos '!J14</f>
        <v>292798481.61000001</v>
      </c>
      <c r="E14" s="10">
        <f>+'Tabla 1 Ingresos y egresos '!N14</f>
        <v>206105543.78</v>
      </c>
      <c r="F14" s="10">
        <f>+'Tabla 1 Ingresos y egresos '!R14</f>
        <v>209289171.05000001</v>
      </c>
      <c r="G14" s="10">
        <f t="shared" si="2"/>
        <v>708193196.44000006</v>
      </c>
      <c r="H14" s="73">
        <f t="shared" si="3"/>
        <v>0.66275264686295243</v>
      </c>
    </row>
    <row r="15" spans="2:9" x14ac:dyDescent="0.25">
      <c r="B15" s="8" t="s">
        <v>0</v>
      </c>
      <c r="C15" s="10">
        <f>+'Tabla 1 Ingresos y egresos '!F15</f>
        <v>114306331.40000001</v>
      </c>
      <c r="D15" s="10">
        <f>+'Tabla 1 Ingresos y egresos '!J15</f>
        <v>19779798.57</v>
      </c>
      <c r="E15" s="10">
        <f>+'Tabla 1 Ingresos y egresos '!N15</f>
        <v>16060387.550000001</v>
      </c>
      <c r="F15" s="10">
        <f>+'Tabla 1 Ingresos y egresos '!R15</f>
        <v>20854801.549999997</v>
      </c>
      <c r="G15" s="10">
        <f t="shared" si="2"/>
        <v>56694987.670000002</v>
      </c>
      <c r="H15" s="73">
        <f t="shared" si="3"/>
        <v>0.49599166534007055</v>
      </c>
    </row>
    <row r="16" spans="2:9" x14ac:dyDescent="0.25">
      <c r="B16" s="8" t="s">
        <v>11</v>
      </c>
      <c r="C16" s="10">
        <f>+'Tabla 1 Ingresos y egresos '!F16</f>
        <v>1945000</v>
      </c>
      <c r="D16" s="10">
        <f>+'Tabla 1 Ingresos y egresos '!J16</f>
        <v>25449.7</v>
      </c>
      <c r="E16" s="10">
        <f>+'Tabla 1 Ingresos y egresos '!N16</f>
        <v>52007</v>
      </c>
      <c r="F16" s="10">
        <f>+'Tabla 1 Ingresos y egresos '!R16</f>
        <v>84094</v>
      </c>
      <c r="G16" s="10">
        <f t="shared" si="2"/>
        <v>161550.70000000001</v>
      </c>
      <c r="H16" s="73">
        <f t="shared" si="3"/>
        <v>8.305948586118253E-2</v>
      </c>
      <c r="I16" s="2"/>
    </row>
    <row r="17" spans="2:10" x14ac:dyDescent="0.25">
      <c r="B17" s="8" t="s">
        <v>4</v>
      </c>
      <c r="C17" s="10">
        <f>+'Tabla 1 Ingresos y egresos '!F17</f>
        <v>42089570</v>
      </c>
      <c r="D17" s="10">
        <f>+'Tabla 1 Ingresos y egresos '!J17</f>
        <v>0</v>
      </c>
      <c r="E17" s="10">
        <f>+'Tabla 1 Ingresos y egresos '!N17</f>
        <v>709187.28</v>
      </c>
      <c r="F17" s="10">
        <f>+'Tabla 1 Ingresos y egresos '!R17</f>
        <v>0</v>
      </c>
      <c r="G17" s="10">
        <f t="shared" si="2"/>
        <v>709187.28</v>
      </c>
      <c r="H17" s="73">
        <f t="shared" si="3"/>
        <v>1.6849477911035918E-2</v>
      </c>
    </row>
    <row r="18" spans="2:10" x14ac:dyDescent="0.25">
      <c r="B18" s="8" t="s">
        <v>2</v>
      </c>
      <c r="C18" s="10">
        <f>+'Tabla 1 Ingresos y egresos '!F18</f>
        <v>609492998.77999997</v>
      </c>
      <c r="D18" s="10">
        <f>+'Tabla 1 Ingresos y egresos '!J18</f>
        <v>286060786.35000002</v>
      </c>
      <c r="E18" s="10">
        <f>+'Tabla 1 Ingresos y egresos '!N18</f>
        <v>86699093.539999992</v>
      </c>
      <c r="F18" s="10">
        <f>+'Tabla 1 Ingresos y egresos '!R18</f>
        <v>58862333.939999998</v>
      </c>
      <c r="G18" s="10">
        <f t="shared" si="2"/>
        <v>431622213.82999998</v>
      </c>
      <c r="H18" s="73">
        <f t="shared" si="3"/>
        <v>0.70816599156013693</v>
      </c>
    </row>
    <row r="19" spans="2:10" x14ac:dyDescent="0.25">
      <c r="B19" s="8" t="s">
        <v>13</v>
      </c>
      <c r="C19" s="10">
        <f>+'Tabla 1 Ingresos y egresos '!F19</f>
        <v>1503623.25</v>
      </c>
      <c r="D19" s="10">
        <f>+'Tabla 1 Ingresos y egresos '!J19</f>
        <v>0</v>
      </c>
      <c r="E19" s="10">
        <f>+'Tabla 1 Ingresos y egresos '!N19</f>
        <v>0</v>
      </c>
      <c r="F19" s="10">
        <v>0</v>
      </c>
      <c r="G19" s="10">
        <f>+D19+E19</f>
        <v>0</v>
      </c>
      <c r="H19" s="73">
        <f t="shared" si="3"/>
        <v>0</v>
      </c>
    </row>
    <row r="20" spans="2:10" ht="37.5" customHeight="1" x14ac:dyDescent="0.25">
      <c r="B20" s="465"/>
      <c r="C20" s="465"/>
      <c r="D20" s="465"/>
      <c r="E20" s="465"/>
      <c r="F20" s="465"/>
      <c r="G20" s="465"/>
      <c r="H20" s="465"/>
    </row>
    <row r="21" spans="2:10" s="20" customFormat="1" x14ac:dyDescent="0.25">
      <c r="B21" s="19"/>
      <c r="C21" s="19"/>
      <c r="D21" s="15"/>
      <c r="E21" s="15"/>
      <c r="F21" s="15"/>
      <c r="G21" s="15"/>
      <c r="H21" s="4"/>
      <c r="J21" s="15"/>
    </row>
    <row r="25" spans="2:10" x14ac:dyDescent="0.25">
      <c r="C25" s="2"/>
    </row>
  </sheetData>
  <mergeCells count="4">
    <mergeCell ref="B1:D1"/>
    <mergeCell ref="B2:D2"/>
    <mergeCell ref="B3:D3"/>
    <mergeCell ref="B20:H2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8104A-38E1-44C4-B439-2E7BA35D010D}">
  <dimension ref="B3:K26"/>
  <sheetViews>
    <sheetView showGridLines="0" zoomScale="90" zoomScaleNormal="90" workbookViewId="0">
      <selection activeCell="G23" sqref="G23"/>
    </sheetView>
  </sheetViews>
  <sheetFormatPr baseColWidth="10" defaultRowHeight="15" x14ac:dyDescent="0.25"/>
  <cols>
    <col min="1" max="1" width="11.42578125" style="16"/>
    <col min="2" max="2" width="43.140625" style="16" customWidth="1"/>
    <col min="3" max="3" width="18" style="1" customWidth="1"/>
    <col min="4" max="4" width="18.28515625" style="1" customWidth="1"/>
    <col min="5" max="5" width="18.42578125" style="1" customWidth="1"/>
    <col min="6" max="6" width="17" style="16" customWidth="1"/>
    <col min="7" max="7" width="17.140625" style="16" customWidth="1"/>
    <col min="8" max="8" width="18.140625" style="16" customWidth="1"/>
    <col min="9" max="9" width="12.85546875" style="16" customWidth="1"/>
    <col min="10" max="10" width="11.28515625" style="16" customWidth="1"/>
    <col min="11" max="16384" width="11.42578125" style="16"/>
  </cols>
  <sheetData>
    <row r="3" spans="2:11" x14ac:dyDescent="0.25">
      <c r="G3" s="2"/>
    </row>
    <row r="4" spans="2:11" x14ac:dyDescent="0.25">
      <c r="G4" s="1"/>
      <c r="H4" s="1"/>
    </row>
    <row r="5" spans="2:11" ht="30" x14ac:dyDescent="0.25">
      <c r="B5" s="116" t="s">
        <v>100</v>
      </c>
      <c r="C5" s="340" t="s">
        <v>499</v>
      </c>
      <c r="D5" s="340" t="s">
        <v>500</v>
      </c>
      <c r="E5" s="340" t="s">
        <v>502</v>
      </c>
      <c r="F5" s="117" t="s">
        <v>503</v>
      </c>
      <c r="G5" s="117" t="s">
        <v>504</v>
      </c>
      <c r="H5" s="117" t="s">
        <v>101</v>
      </c>
      <c r="I5" s="117" t="s">
        <v>20</v>
      </c>
      <c r="J5" s="118" t="s">
        <v>14</v>
      </c>
    </row>
    <row r="6" spans="2:11" s="3" customFormat="1" x14ac:dyDescent="0.25">
      <c r="B6" s="119" t="s">
        <v>155</v>
      </c>
      <c r="C6" s="341">
        <v>430371839.00999999</v>
      </c>
      <c r="D6" s="341">
        <v>-167768640.00999999</v>
      </c>
      <c r="E6" s="341">
        <f>SUM(C6:D6)</f>
        <v>262603199</v>
      </c>
      <c r="F6" s="120">
        <v>1443562</v>
      </c>
      <c r="G6" s="120">
        <v>0</v>
      </c>
      <c r="H6" s="120">
        <v>261159637</v>
      </c>
      <c r="I6" s="120">
        <f>+E6-F6-G6-H6</f>
        <v>0</v>
      </c>
      <c r="J6" s="121">
        <f>+H6/E6</f>
        <v>0.99450287732404963</v>
      </c>
      <c r="K6" s="161"/>
    </row>
    <row r="7" spans="2:11" s="3" customFormat="1" x14ac:dyDescent="0.25">
      <c r="B7" s="119" t="s">
        <v>156</v>
      </c>
      <c r="C7" s="341">
        <v>0</v>
      </c>
      <c r="D7" s="341">
        <v>166900820.00999999</v>
      </c>
      <c r="E7" s="341">
        <f t="shared" ref="E7:E11" si="0">SUM(C7:D7)</f>
        <v>166900820.00999999</v>
      </c>
      <c r="F7" s="120">
        <v>45893197.010000005</v>
      </c>
      <c r="G7" s="120">
        <v>59224020</v>
      </c>
      <c r="H7" s="120">
        <v>61783603</v>
      </c>
      <c r="I7" s="120">
        <f>+E7-F7-G7-H7</f>
        <v>0</v>
      </c>
      <c r="J7" s="121">
        <f>+H7/E7</f>
        <v>0.3701815425250648</v>
      </c>
      <c r="K7" s="161"/>
    </row>
    <row r="8" spans="2:11" s="3" customFormat="1" x14ac:dyDescent="0.25">
      <c r="B8" s="234" t="s">
        <v>159</v>
      </c>
      <c r="C8" s="342">
        <f>SUM(C6:C7)</f>
        <v>430371839.00999999</v>
      </c>
      <c r="D8" s="342">
        <f t="shared" ref="D8" si="1">SUM(D6:D7)</f>
        <v>-867820</v>
      </c>
      <c r="E8" s="342">
        <f>SUM(E6:E7)</f>
        <v>429504019.00999999</v>
      </c>
      <c r="F8" s="122">
        <f t="shared" ref="F8:H8" si="2">SUM(F6:F7)</f>
        <v>47336759.010000005</v>
      </c>
      <c r="G8" s="122">
        <f t="shared" si="2"/>
        <v>59224020</v>
      </c>
      <c r="H8" s="122">
        <f t="shared" si="2"/>
        <v>322943240</v>
      </c>
      <c r="I8" s="122">
        <f>+E8-F8-G8-H8</f>
        <v>0</v>
      </c>
      <c r="J8" s="123">
        <f>+H8/E8</f>
        <v>0.75189806312960494</v>
      </c>
      <c r="K8" s="161"/>
    </row>
    <row r="9" spans="2:11" s="3" customFormat="1" x14ac:dyDescent="0.25">
      <c r="B9" s="119"/>
      <c r="C9" s="341"/>
      <c r="D9" s="341"/>
      <c r="E9" s="341">
        <f t="shared" si="0"/>
        <v>0</v>
      </c>
      <c r="F9" s="120"/>
      <c r="G9" s="120"/>
      <c r="H9" s="120"/>
      <c r="I9" s="120">
        <f t="shared" ref="I9:I13" si="3">+E9-F9-G9-H9</f>
        <v>0</v>
      </c>
      <c r="J9" s="121"/>
      <c r="K9" s="161"/>
    </row>
    <row r="10" spans="2:11" x14ac:dyDescent="0.25">
      <c r="B10" s="119" t="s">
        <v>157</v>
      </c>
      <c r="C10" s="341">
        <v>50000000</v>
      </c>
      <c r="D10" s="341">
        <v>-50000000</v>
      </c>
      <c r="E10" s="341">
        <f t="shared" si="0"/>
        <v>0</v>
      </c>
      <c r="F10" s="120"/>
      <c r="G10" s="120">
        <v>0</v>
      </c>
      <c r="H10" s="120"/>
      <c r="I10" s="120">
        <f>+E10-F10-G10-H10</f>
        <v>0</v>
      </c>
      <c r="J10" s="121">
        <v>0</v>
      </c>
      <c r="K10" s="1"/>
    </row>
    <row r="11" spans="2:11" x14ac:dyDescent="0.25">
      <c r="B11" s="119" t="s">
        <v>158</v>
      </c>
      <c r="C11" s="341">
        <v>0</v>
      </c>
      <c r="D11" s="341">
        <v>50867820</v>
      </c>
      <c r="E11" s="341">
        <f t="shared" si="0"/>
        <v>50867820</v>
      </c>
      <c r="F11" s="120">
        <v>0</v>
      </c>
      <c r="G11" s="120">
        <v>35991956</v>
      </c>
      <c r="H11" s="120">
        <v>14875864</v>
      </c>
      <c r="I11" s="120">
        <f t="shared" si="3"/>
        <v>0</v>
      </c>
      <c r="J11" s="121">
        <f>+H11/E11</f>
        <v>0.29244154752454499</v>
      </c>
      <c r="K11" s="1"/>
    </row>
    <row r="12" spans="2:11" s="3" customFormat="1" x14ac:dyDescent="0.25">
      <c r="B12" s="234" t="s">
        <v>160</v>
      </c>
      <c r="C12" s="342">
        <f>SUM(C10:C11)</f>
        <v>50000000</v>
      </c>
      <c r="D12" s="342">
        <f t="shared" ref="D12:H12" si="4">SUM(D10:D11)</f>
        <v>867820</v>
      </c>
      <c r="E12" s="342">
        <f t="shared" si="4"/>
        <v>50867820</v>
      </c>
      <c r="F12" s="122">
        <f t="shared" si="4"/>
        <v>0</v>
      </c>
      <c r="G12" s="122">
        <f t="shared" si="4"/>
        <v>35991956</v>
      </c>
      <c r="H12" s="122">
        <f t="shared" si="4"/>
        <v>14875864</v>
      </c>
      <c r="I12" s="120">
        <f t="shared" si="3"/>
        <v>0</v>
      </c>
      <c r="J12" s="123">
        <f>+H12/E12</f>
        <v>0.29244154752454499</v>
      </c>
      <c r="K12" s="161"/>
    </row>
    <row r="13" spans="2:11" s="3" customFormat="1" x14ac:dyDescent="0.25">
      <c r="B13" s="234" t="s">
        <v>449</v>
      </c>
      <c r="C13" s="342">
        <f>+C8+C12</f>
        <v>480371839.00999999</v>
      </c>
      <c r="D13" s="342">
        <f t="shared" ref="D13:H13" si="5">+D8+D12</f>
        <v>0</v>
      </c>
      <c r="E13" s="342">
        <f t="shared" si="5"/>
        <v>480371839.00999999</v>
      </c>
      <c r="F13" s="122">
        <f t="shared" si="5"/>
        <v>47336759.010000005</v>
      </c>
      <c r="G13" s="122">
        <f t="shared" si="5"/>
        <v>95215976</v>
      </c>
      <c r="H13" s="122">
        <f t="shared" si="5"/>
        <v>337819104</v>
      </c>
      <c r="I13" s="120">
        <f t="shared" si="3"/>
        <v>0</v>
      </c>
      <c r="J13" s="123">
        <f>+H13/E13</f>
        <v>0.70324502097419483</v>
      </c>
      <c r="K13" s="161"/>
    </row>
    <row r="14" spans="2:11" x14ac:dyDescent="0.25">
      <c r="B14" s="4"/>
      <c r="C14" s="124"/>
      <c r="D14" s="124"/>
      <c r="E14" s="124"/>
      <c r="F14" s="125"/>
      <c r="G14" s="4"/>
      <c r="H14" s="4"/>
      <c r="I14" s="4"/>
      <c r="J14" s="4"/>
    </row>
    <row r="15" spans="2:11" x14ac:dyDescent="0.25">
      <c r="B15" s="343" t="s">
        <v>505</v>
      </c>
      <c r="C15" s="124"/>
      <c r="D15" s="124"/>
      <c r="E15" s="124"/>
      <c r="F15" s="125"/>
      <c r="G15" s="4"/>
      <c r="H15" s="4"/>
      <c r="I15" s="4"/>
      <c r="J15" s="4"/>
    </row>
    <row r="16" spans="2:11" ht="49.5" customHeight="1" x14ac:dyDescent="0.25">
      <c r="B16" s="466" t="s">
        <v>567</v>
      </c>
      <c r="C16" s="466"/>
      <c r="D16" s="466"/>
      <c r="E16" s="466"/>
      <c r="F16" s="466"/>
      <c r="G16" s="466"/>
      <c r="H16" s="466"/>
      <c r="I16" s="466"/>
      <c r="J16" s="466"/>
    </row>
    <row r="17" spans="2:10" ht="45.75" customHeight="1" x14ac:dyDescent="0.25">
      <c r="B17" s="466" t="s">
        <v>568</v>
      </c>
      <c r="C17" s="466"/>
      <c r="D17" s="466"/>
      <c r="E17" s="466"/>
      <c r="F17" s="466"/>
      <c r="G17" s="466"/>
      <c r="H17" s="466"/>
      <c r="I17" s="466"/>
      <c r="J17" s="466"/>
    </row>
    <row r="18" spans="2:10" x14ac:dyDescent="0.25">
      <c r="B18" s="4"/>
      <c r="C18" s="124"/>
      <c r="D18" s="124"/>
      <c r="E18" s="124"/>
      <c r="F18" s="4"/>
      <c r="G18" s="4"/>
      <c r="H18" s="223"/>
      <c r="I18" s="4"/>
      <c r="J18" s="4"/>
    </row>
    <row r="19" spans="2:10" x14ac:dyDescent="0.25">
      <c r="B19" s="4"/>
      <c r="C19" s="124"/>
      <c r="D19" s="124"/>
      <c r="E19" s="124"/>
      <c r="F19" s="124"/>
      <c r="G19" s="4"/>
      <c r="H19" s="4"/>
      <c r="I19" s="4"/>
      <c r="J19" s="4"/>
    </row>
    <row r="20" spans="2:10" x14ac:dyDescent="0.25">
      <c r="B20" s="4"/>
      <c r="C20" s="124"/>
      <c r="D20" s="124"/>
      <c r="E20" s="124"/>
      <c r="F20" s="124"/>
      <c r="G20" s="124"/>
      <c r="H20" s="124"/>
      <c r="I20" s="124"/>
      <c r="J20" s="4"/>
    </row>
    <row r="21" spans="2:10" x14ac:dyDescent="0.25">
      <c r="B21" s="4"/>
      <c r="C21" s="124"/>
      <c r="D21" s="124"/>
      <c r="E21" s="124"/>
      <c r="F21" s="124"/>
      <c r="G21" s="124"/>
      <c r="H21" s="124"/>
      <c r="I21" s="124"/>
      <c r="J21" s="4"/>
    </row>
    <row r="22" spans="2:10" x14ac:dyDescent="0.25">
      <c r="B22" s="4"/>
      <c r="C22" s="124"/>
      <c r="D22" s="124"/>
      <c r="E22" s="124"/>
      <c r="F22" s="124"/>
      <c r="G22" s="124"/>
      <c r="H22" s="124"/>
      <c r="I22" s="124"/>
      <c r="J22" s="4"/>
    </row>
    <row r="23" spans="2:10" x14ac:dyDescent="0.25">
      <c r="B23" s="4"/>
      <c r="C23" s="124"/>
      <c r="D23" s="124"/>
      <c r="E23" s="124"/>
      <c r="F23" s="124"/>
      <c r="G23" s="124"/>
      <c r="H23" s="124"/>
      <c r="I23" s="124"/>
      <c r="J23" s="4"/>
    </row>
    <row r="24" spans="2:10" x14ac:dyDescent="0.25">
      <c r="B24" s="4"/>
      <c r="C24" s="124"/>
      <c r="D24" s="124"/>
      <c r="E24" s="124"/>
      <c r="F24" s="124"/>
      <c r="G24" s="124"/>
      <c r="H24" s="124"/>
      <c r="I24" s="124"/>
      <c r="J24" s="4"/>
    </row>
    <row r="25" spans="2:10" x14ac:dyDescent="0.25">
      <c r="B25" s="4"/>
      <c r="C25" s="124"/>
      <c r="D25" s="124"/>
      <c r="E25" s="124"/>
      <c r="F25" s="4"/>
      <c r="G25" s="4"/>
      <c r="H25" s="4"/>
      <c r="I25" s="4"/>
      <c r="J25" s="4"/>
    </row>
    <row r="26" spans="2:10" x14ac:dyDescent="0.25">
      <c r="B26" s="4"/>
      <c r="C26" s="124"/>
      <c r="D26" s="124"/>
      <c r="E26" s="124"/>
      <c r="F26" s="4"/>
      <c r="G26" s="4"/>
      <c r="H26" s="4"/>
      <c r="I26" s="4"/>
      <c r="J26" s="4"/>
    </row>
  </sheetData>
  <mergeCells count="2">
    <mergeCell ref="B16:J16"/>
    <mergeCell ref="B17:J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95232-5508-44FD-8691-6AA310591F31}">
  <sheetPr>
    <pageSetUpPr fitToPage="1"/>
  </sheetPr>
  <dimension ref="B3:H29"/>
  <sheetViews>
    <sheetView showGridLines="0" zoomScale="80" zoomScaleNormal="80" workbookViewId="0">
      <selection activeCell="H22" sqref="H22"/>
    </sheetView>
  </sheetViews>
  <sheetFormatPr baseColWidth="10" defaultColWidth="11.28515625" defaultRowHeight="15" x14ac:dyDescent="0.25"/>
  <cols>
    <col min="1" max="1" width="11.28515625" style="146"/>
    <col min="2" max="2" width="12.85546875" style="301" customWidth="1"/>
    <col min="3" max="3" width="10.85546875" style="302" customWidth="1"/>
    <col min="4" max="4" width="22.140625" style="303" customWidth="1"/>
    <col min="5" max="5" width="15.140625" style="304" customWidth="1"/>
    <col min="6" max="6" width="66" style="305" customWidth="1"/>
    <col min="7" max="7" width="18" style="306" customWidth="1"/>
    <col min="8" max="8" width="46.140625" style="146" customWidth="1"/>
    <col min="9" max="16384" width="11.28515625" style="146"/>
  </cols>
  <sheetData>
    <row r="3" spans="2:8" s="185" customFormat="1" ht="18" x14ac:dyDescent="0.25">
      <c r="B3" s="467" t="s">
        <v>496</v>
      </c>
      <c r="C3" s="467"/>
      <c r="D3" s="467"/>
      <c r="E3" s="467"/>
      <c r="F3" s="467"/>
      <c r="G3" s="467"/>
      <c r="H3" s="467"/>
    </row>
    <row r="4" spans="2:8" ht="16.5" customHeight="1" x14ac:dyDescent="0.25">
      <c r="D4" s="307"/>
    </row>
    <row r="5" spans="2:8" ht="57" customHeight="1" x14ac:dyDescent="0.25">
      <c r="B5" s="308" t="s">
        <v>450</v>
      </c>
      <c r="C5" s="308" t="s">
        <v>451</v>
      </c>
      <c r="D5" s="308" t="s">
        <v>452</v>
      </c>
      <c r="E5" s="308" t="s">
        <v>453</v>
      </c>
      <c r="F5" s="309" t="s">
        <v>454</v>
      </c>
      <c r="G5" s="310" t="s">
        <v>455</v>
      </c>
      <c r="H5" s="311" t="s">
        <v>456</v>
      </c>
    </row>
    <row r="6" spans="2:8" s="318" customFormat="1" ht="96" customHeight="1" x14ac:dyDescent="0.25">
      <c r="B6" s="312" t="s">
        <v>457</v>
      </c>
      <c r="C6" s="313" t="s">
        <v>497</v>
      </c>
      <c r="D6" s="319" t="s">
        <v>464</v>
      </c>
      <c r="E6" s="314" t="s">
        <v>465</v>
      </c>
      <c r="F6" s="315" t="s">
        <v>498</v>
      </c>
      <c r="G6" s="316">
        <v>35991956</v>
      </c>
      <c r="H6" s="317" t="s">
        <v>571</v>
      </c>
    </row>
    <row r="7" spans="2:8" s="326" customFormat="1" x14ac:dyDescent="0.25">
      <c r="B7" s="320"/>
      <c r="C7" s="320"/>
      <c r="D7" s="321" t="s">
        <v>481</v>
      </c>
      <c r="E7" s="322"/>
      <c r="F7" s="323"/>
      <c r="G7" s="324">
        <f>SUBTOTAL(109,Tabla1343643[Saldo por girar con presupuesto 2021])</f>
        <v>35991956</v>
      </c>
      <c r="H7" s="325"/>
    </row>
    <row r="10" spans="2:8" s="185" customFormat="1" ht="18" x14ac:dyDescent="0.25">
      <c r="B10" s="467" t="s">
        <v>495</v>
      </c>
      <c r="C10" s="467"/>
      <c r="D10" s="467"/>
      <c r="E10" s="467"/>
      <c r="F10" s="467"/>
      <c r="G10" s="467"/>
      <c r="H10" s="467"/>
    </row>
    <row r="12" spans="2:8" ht="57" customHeight="1" x14ac:dyDescent="0.25">
      <c r="B12" s="327" t="s">
        <v>450</v>
      </c>
      <c r="C12" s="327" t="s">
        <v>451</v>
      </c>
      <c r="D12" s="327" t="s">
        <v>452</v>
      </c>
      <c r="E12" s="327" t="s">
        <v>453</v>
      </c>
      <c r="F12" s="309" t="s">
        <v>454</v>
      </c>
      <c r="G12" s="328" t="s">
        <v>455</v>
      </c>
      <c r="H12" s="311" t="s">
        <v>482</v>
      </c>
    </row>
    <row r="13" spans="2:8" s="318" customFormat="1" ht="45" x14ac:dyDescent="0.25">
      <c r="B13" s="312" t="s">
        <v>483</v>
      </c>
      <c r="C13" s="313" t="s">
        <v>488</v>
      </c>
      <c r="D13" s="319" t="s">
        <v>477</v>
      </c>
      <c r="E13" s="314" t="s">
        <v>475</v>
      </c>
      <c r="F13" s="329" t="s">
        <v>489</v>
      </c>
      <c r="G13" s="316">
        <v>2776442</v>
      </c>
      <c r="H13" s="330" t="s">
        <v>490</v>
      </c>
    </row>
    <row r="14" spans="2:8" s="318" customFormat="1" ht="45" x14ac:dyDescent="0.25">
      <c r="B14" s="312" t="s">
        <v>483</v>
      </c>
      <c r="C14" s="313" t="s">
        <v>491</v>
      </c>
      <c r="D14" s="319" t="s">
        <v>477</v>
      </c>
      <c r="E14" s="314" t="s">
        <v>475</v>
      </c>
      <c r="F14" s="329" t="s">
        <v>492</v>
      </c>
      <c r="G14" s="316">
        <v>10570318</v>
      </c>
      <c r="H14" s="330" t="s">
        <v>490</v>
      </c>
    </row>
    <row r="15" spans="2:8" s="318" customFormat="1" ht="45" x14ac:dyDescent="0.25">
      <c r="B15" s="312" t="s">
        <v>483</v>
      </c>
      <c r="C15" s="313" t="s">
        <v>556</v>
      </c>
      <c r="D15" s="319" t="s">
        <v>487</v>
      </c>
      <c r="E15" s="314" t="s">
        <v>475</v>
      </c>
      <c r="F15" s="329" t="s">
        <v>557</v>
      </c>
      <c r="G15" s="316">
        <v>19999999.010000002</v>
      </c>
      <c r="H15" s="330" t="s">
        <v>490</v>
      </c>
    </row>
    <row r="16" spans="2:8" s="326" customFormat="1" x14ac:dyDescent="0.25">
      <c r="B16" s="320"/>
      <c r="C16" s="320"/>
      <c r="D16" s="321" t="s">
        <v>493</v>
      </c>
      <c r="E16" s="322"/>
      <c r="F16" s="331"/>
      <c r="G16" s="324">
        <f>SUM(G13:G15)</f>
        <v>33346759.010000002</v>
      </c>
      <c r="H16" s="320"/>
    </row>
    <row r="18" spans="2:8" ht="57" customHeight="1" x14ac:dyDescent="0.25">
      <c r="B18" s="308" t="s">
        <v>450</v>
      </c>
      <c r="C18" s="308" t="s">
        <v>451</v>
      </c>
      <c r="D18" s="308" t="s">
        <v>452</v>
      </c>
      <c r="E18" s="308" t="s">
        <v>453</v>
      </c>
      <c r="F18" s="309" t="s">
        <v>454</v>
      </c>
      <c r="G18" s="310" t="s">
        <v>455</v>
      </c>
      <c r="H18" s="311" t="s">
        <v>482</v>
      </c>
    </row>
    <row r="19" spans="2:8" s="318" customFormat="1" ht="42.75" customHeight="1" x14ac:dyDescent="0.25">
      <c r="B19" s="312" t="s">
        <v>457</v>
      </c>
      <c r="C19" s="313" t="s">
        <v>458</v>
      </c>
      <c r="D19" s="319" t="s">
        <v>459</v>
      </c>
      <c r="E19" s="314" t="s">
        <v>460</v>
      </c>
      <c r="F19" s="315" t="s">
        <v>461</v>
      </c>
      <c r="G19" s="316">
        <v>1368678</v>
      </c>
      <c r="H19" s="317" t="s">
        <v>462</v>
      </c>
    </row>
    <row r="20" spans="2:8" s="318" customFormat="1" ht="60" x14ac:dyDescent="0.25">
      <c r="B20" s="312" t="s">
        <v>457</v>
      </c>
      <c r="C20" s="313" t="s">
        <v>463</v>
      </c>
      <c r="D20" s="319" t="s">
        <v>464</v>
      </c>
      <c r="E20" s="314" t="s">
        <v>465</v>
      </c>
      <c r="F20" s="315" t="s">
        <v>466</v>
      </c>
      <c r="G20" s="316">
        <v>6034715</v>
      </c>
      <c r="H20" s="317" t="s">
        <v>467</v>
      </c>
    </row>
    <row r="21" spans="2:8" s="318" customFormat="1" ht="60" x14ac:dyDescent="0.25">
      <c r="B21" s="312" t="s">
        <v>457</v>
      </c>
      <c r="C21" s="313" t="s">
        <v>468</v>
      </c>
      <c r="D21" s="319" t="s">
        <v>469</v>
      </c>
      <c r="E21" s="314" t="s">
        <v>460</v>
      </c>
      <c r="F21" s="315" t="s">
        <v>470</v>
      </c>
      <c r="G21" s="316">
        <v>1443562</v>
      </c>
      <c r="H21" s="317" t="s">
        <v>471</v>
      </c>
    </row>
    <row r="22" spans="2:8" s="318" customFormat="1" ht="60" customHeight="1" x14ac:dyDescent="0.25">
      <c r="B22" s="312" t="s">
        <v>457</v>
      </c>
      <c r="C22" s="313" t="s">
        <v>484</v>
      </c>
      <c r="D22" s="319" t="s">
        <v>485</v>
      </c>
      <c r="E22" s="314" t="s">
        <v>475</v>
      </c>
      <c r="F22" s="329" t="s">
        <v>486</v>
      </c>
      <c r="G22" s="316">
        <v>7998161</v>
      </c>
      <c r="H22" s="330" t="s">
        <v>569</v>
      </c>
    </row>
    <row r="23" spans="2:8" s="318" customFormat="1" ht="60" customHeight="1" x14ac:dyDescent="0.25">
      <c r="B23" s="312" t="s">
        <v>457</v>
      </c>
      <c r="C23" s="313" t="s">
        <v>473</v>
      </c>
      <c r="D23" s="319" t="s">
        <v>474</v>
      </c>
      <c r="E23" s="314" t="s">
        <v>475</v>
      </c>
      <c r="F23" s="315" t="s">
        <v>476</v>
      </c>
      <c r="G23" s="316">
        <v>2052140</v>
      </c>
      <c r="H23" s="317" t="s">
        <v>553</v>
      </c>
    </row>
    <row r="24" spans="2:8" s="318" customFormat="1" ht="45" x14ac:dyDescent="0.25">
      <c r="B24" s="312" t="s">
        <v>457</v>
      </c>
      <c r="C24" s="313" t="s">
        <v>478</v>
      </c>
      <c r="D24" s="313" t="s">
        <v>479</v>
      </c>
      <c r="E24" s="314" t="s">
        <v>475</v>
      </c>
      <c r="F24" s="315" t="s">
        <v>480</v>
      </c>
      <c r="G24" s="316">
        <v>11187581</v>
      </c>
      <c r="H24" s="317" t="s">
        <v>570</v>
      </c>
    </row>
    <row r="25" spans="2:8" s="318" customFormat="1" ht="52.5" customHeight="1" x14ac:dyDescent="0.25">
      <c r="B25" s="312" t="s">
        <v>457</v>
      </c>
      <c r="C25" s="313" t="s">
        <v>554</v>
      </c>
      <c r="D25" s="319" t="s">
        <v>487</v>
      </c>
      <c r="E25" s="314" t="s">
        <v>475</v>
      </c>
      <c r="F25" s="364" t="s">
        <v>559</v>
      </c>
      <c r="G25" s="365">
        <v>11139183</v>
      </c>
      <c r="H25" s="317" t="s">
        <v>560</v>
      </c>
    </row>
    <row r="26" spans="2:8" s="318" customFormat="1" ht="45" x14ac:dyDescent="0.25">
      <c r="B26" s="312" t="s">
        <v>457</v>
      </c>
      <c r="C26" s="313" t="s">
        <v>555</v>
      </c>
      <c r="D26" s="319" t="s">
        <v>487</v>
      </c>
      <c r="E26" s="314" t="s">
        <v>475</v>
      </c>
      <c r="F26" s="364" t="s">
        <v>558</v>
      </c>
      <c r="G26" s="365">
        <v>18000000</v>
      </c>
      <c r="H26" s="317" t="s">
        <v>560</v>
      </c>
    </row>
    <row r="27" spans="2:8" s="326" customFormat="1" x14ac:dyDescent="0.25">
      <c r="B27" s="320"/>
      <c r="C27" s="320"/>
      <c r="D27" s="321" t="s">
        <v>481</v>
      </c>
      <c r="E27" s="322"/>
      <c r="F27" s="323"/>
      <c r="G27" s="324">
        <f>SUBTOTAL(109,Tabla13436443[Saldo por girar con presupuesto 2021])</f>
        <v>59224020</v>
      </c>
      <c r="H27" s="325"/>
    </row>
    <row r="29" spans="2:8" s="339" customFormat="1" ht="15.75" x14ac:dyDescent="0.25">
      <c r="B29" s="332" t="s">
        <v>494</v>
      </c>
      <c r="C29" s="333"/>
      <c r="D29" s="334"/>
      <c r="E29" s="335"/>
      <c r="F29" s="336"/>
      <c r="G29" s="337">
        <f>+G16+Tabla13436443[[#Totals],[Saldo por girar con presupuesto 2021]]</f>
        <v>92570779.010000005</v>
      </c>
      <c r="H29" s="338"/>
    </row>
  </sheetData>
  <mergeCells count="2">
    <mergeCell ref="B3:H3"/>
    <mergeCell ref="B10:H10"/>
  </mergeCells>
  <dataValidations disablePrompts="1" count="1">
    <dataValidation showInputMessage="1" showErrorMessage="1" sqref="E6 E19:E21" xr:uid="{F2B744CD-546E-4F24-A398-24EA15CD8F8F}"/>
  </dataValidations>
  <printOptions horizontalCentered="1"/>
  <pageMargins left="0.39370078740157483" right="0.39370078740157483" top="0.74803149606299213" bottom="0.74803149606299213" header="0.31496062992125984" footer="0.31496062992125984"/>
  <pageSetup paperSize="9" scale="52" fitToHeight="0" orientation="landscape"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2</vt:i4>
      </vt:variant>
    </vt:vector>
  </HeadingPairs>
  <TitlesOfParts>
    <vt:vector size="14" baseType="lpstr">
      <vt:lpstr>Tabla dinámica</vt:lpstr>
      <vt:lpstr>Matriz POI Presupuesto</vt:lpstr>
      <vt:lpstr>Tabla 1 Ingresos y egresos </vt:lpstr>
      <vt:lpstr>Tabla 2 Ejecución por FF</vt:lpstr>
      <vt:lpstr>Tabla 3 Ingresos por partida</vt:lpstr>
      <vt:lpstr>Tabla 4 Detalle Superávit</vt:lpstr>
      <vt:lpstr>Tabla 5 Egresos por partida</vt:lpstr>
      <vt:lpstr>Tabla 6 Saldo disp. FI y FT</vt:lpstr>
      <vt:lpstr>Tabala 7 Detalle proyectos</vt:lpstr>
      <vt:lpstr>Tabla 8 Presup. por programas</vt:lpstr>
      <vt:lpstr>Tabla 9 CONCILIACIÓN SETIEMBRE</vt:lpstr>
      <vt:lpstr>Anexo 6 Detalle Transferencias</vt:lpstr>
      <vt:lpstr>'Tabla 3 Ingresos por partida'!Área_de_impresión</vt:lpstr>
      <vt:lpstr>'Tabla 8 Presup. por programas'!Títulos_a_imprimir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szuniga</dc:creator>
  <cp:lastModifiedBy>Seidy Zuniga</cp:lastModifiedBy>
  <cp:lastPrinted>2021-10-06T20:05:52Z</cp:lastPrinted>
  <dcterms:created xsi:type="dcterms:W3CDTF">2018-10-03T18:06:40Z</dcterms:created>
  <dcterms:modified xsi:type="dcterms:W3CDTF">2021-10-07T22:13:14Z</dcterms:modified>
</cp:coreProperties>
</file>